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eghenycounty-my.sharepoint.com/personal/bernadette_lipari_alleghenycounty_us/Documents/blipari/GenOn_Brunot Island/Draft/Final Draft 2025-08-21/FINAL DRAFT for first JT review_2025-08-26/"/>
    </mc:Choice>
  </mc:AlternateContent>
  <xr:revisionPtr revIDLastSave="60" documentId="14_{A69B74BC-5AC0-4651-BF92-EE0540C829C3}" xr6:coauthVersionLast="47" xr6:coauthVersionMax="47" xr10:uidLastSave="{B79F9EA6-A6EE-44B4-9108-EEE44E87E70F}"/>
  <bookViews>
    <workbookView xWindow="828" yWindow="660" windowWidth="21480" windowHeight="11040" tabRatio="569" activeTab="3" xr2:uid="{8DA85F5C-C35E-4545-AC10-4F1C99555B99}"/>
  </bookViews>
  <sheets>
    <sheet name="PTE Summary" sheetId="10" r:id="rId1"/>
    <sheet name="Brunot Island CT PTE" sheetId="3" r:id="rId2"/>
    <sheet name="Cooling Tower" sheetId="7" r:id="rId3"/>
    <sheet name="Generator" sheetId="8" r:id="rId4"/>
    <sheet name="Fire Pump" sheetId="9" r:id="rId5"/>
    <sheet name="Input Data" sheetId="1" r:id="rId6"/>
    <sheet name="Emission Factors" sheetId="2" r:id="rId7"/>
    <sheet name="REF 1" sheetId="5" r:id="rId8"/>
    <sheet name="REF 2" sheetId="6" r:id="rId9"/>
    <sheet name="1A PPM RACT Calcs" sheetId="11" r:id="rId10"/>
    <sheet name="2A, 2B, 3 PPM RACT Calc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9" i="11" l="1"/>
  <c r="G15" i="3"/>
  <c r="G14" i="3"/>
  <c r="G13" i="3"/>
  <c r="G12" i="3"/>
  <c r="B21" i="3" l="1"/>
  <c r="K12" i="3"/>
  <c r="H13" i="3"/>
  <c r="I12" i="10" l="1"/>
  <c r="B33" i="3" l="1"/>
  <c r="Q38" i="10"/>
  <c r="H33" i="3"/>
  <c r="H37" i="3" s="1"/>
  <c r="H41" i="3" s="1"/>
  <c r="H21" i="3"/>
  <c r="P43" i="11" l="1"/>
  <c r="P41" i="11"/>
  <c r="H14" i="3" l="1"/>
  <c r="P42" i="11" l="1"/>
  <c r="C54" i="11"/>
  <c r="S38" i="10"/>
  <c r="C21" i="11"/>
  <c r="C11" i="11"/>
  <c r="C39" i="11"/>
  <c r="I27" i="10"/>
  <c r="F8" i="5" l="1"/>
  <c r="P54" i="11"/>
  <c r="P39" i="11"/>
  <c r="AC38" i="11"/>
  <c r="G15" i="5" l="1"/>
  <c r="X40" i="12" l="1"/>
  <c r="AB44" i="12"/>
  <c r="AB45" i="12"/>
  <c r="P31" i="11"/>
  <c r="H34" i="12"/>
  <c r="H45" i="12" s="1"/>
  <c r="H44" i="12"/>
  <c r="AB57" i="12"/>
  <c r="X57" i="12"/>
  <c r="AB56" i="12"/>
  <c r="X56" i="12"/>
  <c r="AB53" i="12"/>
  <c r="AB55" i="12" s="1"/>
  <c r="X53" i="12"/>
  <c r="X55" i="12" s="1"/>
  <c r="X45" i="12"/>
  <c r="X44" i="12"/>
  <c r="AB39" i="12"/>
  <c r="X39" i="12"/>
  <c r="L57" i="12"/>
  <c r="L56" i="12"/>
  <c r="H57" i="12"/>
  <c r="H56" i="12"/>
  <c r="L45" i="12"/>
  <c r="L44" i="12"/>
  <c r="L53" i="12"/>
  <c r="L55" i="12" s="1"/>
  <c r="C31" i="11"/>
  <c r="H53" i="12" l="1"/>
  <c r="H55" i="12"/>
  <c r="L39" i="12"/>
  <c r="I13" i="2"/>
  <c r="D21" i="3"/>
  <c r="P53" i="12"/>
  <c r="P55" i="12" s="1"/>
  <c r="P58" i="12" s="1"/>
  <c r="P39" i="12"/>
  <c r="C53" i="12"/>
  <c r="C55" i="12" s="1"/>
  <c r="C39" i="12"/>
  <c r="E18" i="12"/>
  <c r="C18" i="12"/>
  <c r="C11" i="12"/>
  <c r="P52" i="11"/>
  <c r="C52" i="11"/>
  <c r="E18" i="11"/>
  <c r="C41" i="11" l="1"/>
  <c r="C42" i="11"/>
  <c r="C43" i="11" s="1"/>
  <c r="C57" i="11"/>
  <c r="C58" i="11" s="1"/>
  <c r="C56" i="11"/>
  <c r="P56" i="11"/>
  <c r="P57" i="11"/>
  <c r="P58" i="11" s="1"/>
  <c r="C57" i="12"/>
  <c r="C58" i="12"/>
  <c r="C42" i="12"/>
  <c r="C41" i="12"/>
  <c r="P42" i="12"/>
  <c r="P57" i="12"/>
  <c r="P41" i="12"/>
  <c r="C21" i="12"/>
  <c r="H40" i="12" l="1"/>
  <c r="H39" i="12"/>
  <c r="I3" i="2" l="1"/>
  <c r="F3" i="1"/>
  <c r="D20" i="2" l="1"/>
  <c r="G30" i="5" l="1"/>
  <c r="F9" i="5" l="1"/>
  <c r="B32" i="1" s="1"/>
  <c r="D28" i="10"/>
  <c r="E28" i="10"/>
  <c r="F28" i="10"/>
  <c r="T30" i="8"/>
  <c r="C1" i="5"/>
  <c r="D49" i="1" s="1"/>
  <c r="E47" i="3"/>
  <c r="I19" i="2" s="1"/>
  <c r="B47" i="3"/>
  <c r="B51" i="3" s="1"/>
  <c r="B55" i="3" s="1"/>
  <c r="G45" i="9"/>
  <c r="H45" i="9" s="1"/>
  <c r="G44" i="9"/>
  <c r="H44" i="9" s="1"/>
  <c r="G43" i="9"/>
  <c r="H43" i="9" s="1"/>
  <c r="G42" i="9"/>
  <c r="H42" i="9" s="1"/>
  <c r="G41" i="9"/>
  <c r="H41" i="9" s="1"/>
  <c r="G40" i="9"/>
  <c r="H40" i="9" s="1"/>
  <c r="G39" i="9"/>
  <c r="H39" i="9" s="1"/>
  <c r="G38" i="9"/>
  <c r="H38" i="9" s="1"/>
  <c r="G37" i="9"/>
  <c r="H37" i="9" s="1"/>
  <c r="G36" i="9"/>
  <c r="H36" i="9" s="1"/>
  <c r="C45" i="9"/>
  <c r="H44" i="8"/>
  <c r="H42" i="8"/>
  <c r="H41" i="8"/>
  <c r="H37" i="8"/>
  <c r="G46" i="8"/>
  <c r="H46" i="8" s="1"/>
  <c r="G45" i="8"/>
  <c r="H45" i="8" s="1"/>
  <c r="G44" i="8"/>
  <c r="G43" i="8"/>
  <c r="H43" i="8" s="1"/>
  <c r="G42" i="8"/>
  <c r="G41" i="8"/>
  <c r="G40" i="8"/>
  <c r="H40" i="8" s="1"/>
  <c r="G39" i="8"/>
  <c r="H39" i="8" s="1"/>
  <c r="G38" i="8"/>
  <c r="H38" i="8" s="1"/>
  <c r="G37" i="8"/>
  <c r="G36" i="8" s="1"/>
  <c r="M30" i="8" s="1"/>
  <c r="G104" i="3"/>
  <c r="C46" i="8"/>
  <c r="D81" i="6"/>
  <c r="D78" i="6"/>
  <c r="G99" i="3"/>
  <c r="G98" i="3" s="1"/>
  <c r="C127" i="3"/>
  <c r="K127" i="3" s="1"/>
  <c r="L127" i="3" s="1"/>
  <c r="K132" i="3"/>
  <c r="L132" i="3" s="1"/>
  <c r="K131" i="3"/>
  <c r="L131" i="3" s="1"/>
  <c r="K130" i="3"/>
  <c r="L130" i="3" s="1"/>
  <c r="K128" i="3"/>
  <c r="L128" i="3" s="1"/>
  <c r="K126" i="3"/>
  <c r="L126" i="3" s="1"/>
  <c r="K125" i="3"/>
  <c r="L125" i="3" s="1"/>
  <c r="K124" i="3"/>
  <c r="L124" i="3" s="1"/>
  <c r="K123" i="3"/>
  <c r="L123" i="3" s="1"/>
  <c r="I132" i="3"/>
  <c r="J132" i="3" s="1"/>
  <c r="I131" i="3"/>
  <c r="J131" i="3" s="1"/>
  <c r="I130" i="3"/>
  <c r="J130" i="3" s="1"/>
  <c r="I128" i="3"/>
  <c r="J128" i="3" s="1"/>
  <c r="I126" i="3"/>
  <c r="J126" i="3" s="1"/>
  <c r="I125" i="3"/>
  <c r="J125" i="3" s="1"/>
  <c r="I124" i="3"/>
  <c r="J124" i="3" s="1"/>
  <c r="I123" i="3"/>
  <c r="J123" i="3" s="1"/>
  <c r="G123" i="3"/>
  <c r="H123" i="3" s="1"/>
  <c r="G132" i="3"/>
  <c r="H132" i="3" s="1"/>
  <c r="G131" i="3"/>
  <c r="H131" i="3" s="1"/>
  <c r="G130" i="3"/>
  <c r="H130" i="3" s="1"/>
  <c r="G128" i="3"/>
  <c r="H128" i="3" s="1"/>
  <c r="G126" i="3"/>
  <c r="H126" i="3" s="1"/>
  <c r="G125" i="3"/>
  <c r="H125" i="3" s="1"/>
  <c r="G124" i="3"/>
  <c r="H124" i="3" s="1"/>
  <c r="K122" i="3"/>
  <c r="L122" i="3" s="1"/>
  <c r="I122" i="3"/>
  <c r="J122" i="3" s="1"/>
  <c r="G122" i="3"/>
  <c r="H122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2" i="3"/>
  <c r="H102" i="3" s="1"/>
  <c r="G101" i="3"/>
  <c r="H101" i="3" s="1"/>
  <c r="G100" i="3"/>
  <c r="H100" i="3" s="1"/>
  <c r="C129" i="3"/>
  <c r="K129" i="3" s="1"/>
  <c r="L129" i="3" s="1"/>
  <c r="C103" i="3"/>
  <c r="G103" i="3" s="1"/>
  <c r="H103" i="3" s="1"/>
  <c r="H47" i="3"/>
  <c r="H51" i="3" l="1"/>
  <c r="H55" i="3" s="1"/>
  <c r="I18" i="2"/>
  <c r="H35" i="9"/>
  <c r="T29" i="9" s="1"/>
  <c r="I35" i="10" s="1"/>
  <c r="G35" i="9"/>
  <c r="M29" i="9" s="1"/>
  <c r="H36" i="8"/>
  <c r="H35" i="10" s="1"/>
  <c r="H20" i="10" s="1"/>
  <c r="G129" i="3"/>
  <c r="H129" i="3" s="1"/>
  <c r="I129" i="3"/>
  <c r="J129" i="3" s="1"/>
  <c r="H99" i="3"/>
  <c r="H98" i="3" s="1"/>
  <c r="L121" i="3"/>
  <c r="F35" i="10" s="1"/>
  <c r="K121" i="3"/>
  <c r="G127" i="3"/>
  <c r="H127" i="3" s="1"/>
  <c r="H121" i="3" s="1"/>
  <c r="I127" i="3"/>
  <c r="J127" i="3" s="1"/>
  <c r="H104" i="3"/>
  <c r="J121" i="3" l="1"/>
  <c r="E35" i="10" s="1"/>
  <c r="D35" i="10"/>
  <c r="G121" i="3"/>
  <c r="C35" i="10"/>
  <c r="I121" i="3"/>
  <c r="N25" i="5" l="1"/>
  <c r="L25" i="5" s="1"/>
  <c r="C25" i="7"/>
  <c r="N12" i="5"/>
  <c r="L12" i="5" s="1"/>
  <c r="O15" i="5"/>
  <c r="N15" i="5"/>
  <c r="B26" i="3" l="1"/>
  <c r="G17" i="10" l="1"/>
  <c r="G16" i="10"/>
  <c r="D18" i="10"/>
  <c r="G30" i="8"/>
  <c r="H17" i="10" s="1"/>
  <c r="G29" i="9"/>
  <c r="I30" i="8"/>
  <c r="H18" i="10" s="1"/>
  <c r="H12" i="8"/>
  <c r="G32" i="10" l="1"/>
  <c r="G31" i="10"/>
  <c r="M51" i="3" l="1"/>
  <c r="M55" i="3" s="1"/>
  <c r="M33" i="3"/>
  <c r="M26" i="3"/>
  <c r="D26" i="3"/>
  <c r="C26" i="3"/>
  <c r="F47" i="3"/>
  <c r="H26" i="3"/>
  <c r="C33" i="3"/>
  <c r="I5" i="2" s="1"/>
  <c r="M21" i="3"/>
  <c r="L21" i="3"/>
  <c r="L33" i="3" s="1"/>
  <c r="I7" i="2"/>
  <c r="G21" i="3"/>
  <c r="G33" i="3" s="1"/>
  <c r="I10" i="2" s="1"/>
  <c r="F21" i="3"/>
  <c r="F33" i="3" s="1"/>
  <c r="E21" i="3"/>
  <c r="E33" i="3" s="1"/>
  <c r="C21" i="3"/>
  <c r="I8" i="2" l="1"/>
  <c r="E37" i="3"/>
  <c r="E41" i="3" s="1"/>
  <c r="F37" i="3"/>
  <c r="F41" i="3" s="1"/>
  <c r="I9" i="2"/>
  <c r="D13" i="10"/>
  <c r="I20" i="2"/>
  <c r="F61" i="3"/>
  <c r="E13" i="10" s="1"/>
  <c r="C12" i="10" l="1"/>
  <c r="F29" i="5" l="1"/>
  <c r="G29" i="5" s="1"/>
  <c r="C18" i="10" l="1"/>
  <c r="F18" i="5"/>
  <c r="G18" i="5" s="1"/>
  <c r="D42" i="2" l="1"/>
  <c r="F26" i="3"/>
  <c r="D31" i="2"/>
  <c r="O21" i="5"/>
  <c r="O19" i="5"/>
  <c r="O18" i="5"/>
  <c r="N18" i="5"/>
  <c r="N16" i="5"/>
  <c r="C14" i="10" l="1"/>
  <c r="J14" i="10" s="1"/>
  <c r="C15" i="10"/>
  <c r="C13" i="10"/>
  <c r="D33" i="3" l="1"/>
  <c r="C16" i="10"/>
  <c r="P30" i="8"/>
  <c r="H33" i="10" s="1"/>
  <c r="I29" i="9"/>
  <c r="I18" i="10" s="1"/>
  <c r="C17" i="10" l="1"/>
  <c r="D37" i="3"/>
  <c r="J29" i="9"/>
  <c r="H11" i="9"/>
  <c r="P29" i="9" s="1"/>
  <c r="I33" i="10" s="1"/>
  <c r="I20" i="10" l="1"/>
  <c r="J35" i="10"/>
  <c r="F20" i="10"/>
  <c r="E20" i="10"/>
  <c r="D20" i="10"/>
  <c r="C20" i="10"/>
  <c r="AN83" i="6"/>
  <c r="AH83" i="6"/>
  <c r="AN81" i="6"/>
  <c r="AH81" i="6"/>
  <c r="J81" i="6"/>
  <c r="J83" i="6" s="1"/>
  <c r="AN78" i="6"/>
  <c r="AH78" i="6"/>
  <c r="AB78" i="6"/>
  <c r="V83" i="6"/>
  <c r="V81" i="6"/>
  <c r="V78" i="6"/>
  <c r="P83" i="6"/>
  <c r="P81" i="6"/>
  <c r="P78" i="6"/>
  <c r="J78" i="6"/>
  <c r="D83" i="6"/>
  <c r="J20" i="10" l="1"/>
  <c r="O16" i="5"/>
  <c r="M37" i="3" l="1"/>
  <c r="L37" i="3"/>
  <c r="L41" i="3" s="1"/>
  <c r="L12" i="3"/>
  <c r="L29" i="9"/>
  <c r="K29" i="9"/>
  <c r="Q29" i="9"/>
  <c r="H29" i="9"/>
  <c r="O29" i="9"/>
  <c r="E19" i="9"/>
  <c r="L30" i="8"/>
  <c r="K30" i="8"/>
  <c r="J30" i="8"/>
  <c r="H30" i="8"/>
  <c r="H16" i="10" s="1"/>
  <c r="O30" i="8"/>
  <c r="E19" i="8"/>
  <c r="L90" i="3" l="1"/>
  <c r="C29" i="10"/>
  <c r="J29" i="10" s="1"/>
  <c r="I17" i="10"/>
  <c r="I16" i="10"/>
  <c r="R29" i="9"/>
  <c r="I28" i="10" s="1"/>
  <c r="I13" i="10"/>
  <c r="S29" i="9"/>
  <c r="I30" i="10" s="1"/>
  <c r="I15" i="10"/>
  <c r="I32" i="10"/>
  <c r="I31" i="10"/>
  <c r="H31" i="10"/>
  <c r="H32" i="10"/>
  <c r="R30" i="8"/>
  <c r="H28" i="10" s="1"/>
  <c r="H13" i="10"/>
  <c r="Q30" i="8"/>
  <c r="H27" i="10" s="1"/>
  <c r="H12" i="10"/>
  <c r="S30" i="8"/>
  <c r="H30" i="10" s="1"/>
  <c r="H15" i="10"/>
  <c r="N30" i="8"/>
  <c r="N29" i="9"/>
  <c r="C26" i="7" l="1"/>
  <c r="C28" i="7" s="1"/>
  <c r="C29" i="7" s="1"/>
  <c r="C24" i="7"/>
  <c r="C22" i="7"/>
  <c r="C20" i="7"/>
  <c r="C19" i="7"/>
  <c r="O17" i="5"/>
  <c r="C21" i="7" l="1"/>
  <c r="C23" i="7" s="1"/>
  <c r="O22" i="5"/>
  <c r="O24" i="5"/>
  <c r="G19" i="5"/>
  <c r="G16" i="5"/>
  <c r="F17" i="5" l="1"/>
  <c r="G47" i="3" l="1"/>
  <c r="I21" i="2" s="1"/>
  <c r="G51" i="3" l="1"/>
  <c r="G55" i="3" s="1"/>
  <c r="D30" i="10" s="1"/>
  <c r="D15" i="10"/>
  <c r="M75" i="3"/>
  <c r="M79" i="3" s="1"/>
  <c r="G75" i="3"/>
  <c r="F75" i="3"/>
  <c r="M61" i="3"/>
  <c r="M65" i="3" s="1"/>
  <c r="G61" i="3"/>
  <c r="F65" i="3"/>
  <c r="F51" i="3"/>
  <c r="F13" i="10" l="1"/>
  <c r="J13" i="10" s="1"/>
  <c r="F79" i="3"/>
  <c r="G79" i="3"/>
  <c r="G83" i="3" s="1"/>
  <c r="F30" i="10" s="1"/>
  <c r="F15" i="10"/>
  <c r="G65" i="3"/>
  <c r="G69" i="3" s="1"/>
  <c r="E15" i="10"/>
  <c r="B61" i="3"/>
  <c r="B75" i="3"/>
  <c r="B79" i="3" s="1"/>
  <c r="B83" i="3" s="1"/>
  <c r="C47" i="3"/>
  <c r="D16" i="10" s="1"/>
  <c r="M83" i="3"/>
  <c r="M69" i="3"/>
  <c r="G37" i="3"/>
  <c r="J15" i="10" l="1"/>
  <c r="D21" i="2"/>
  <c r="G26" i="3" s="1"/>
  <c r="E30" i="10"/>
  <c r="B37" i="3"/>
  <c r="B41" i="3" s="1"/>
  <c r="B90" i="3" s="1"/>
  <c r="B65" i="3"/>
  <c r="B69" i="3" s="1"/>
  <c r="H61" i="3"/>
  <c r="H75" i="3"/>
  <c r="H79" i="3" s="1"/>
  <c r="D33" i="10"/>
  <c r="D47" i="3"/>
  <c r="D17" i="10" s="1"/>
  <c r="C61" i="3"/>
  <c r="E16" i="10" s="1"/>
  <c r="C75" i="3"/>
  <c r="C51" i="3"/>
  <c r="C55" i="3" s="1"/>
  <c r="D31" i="10" s="1"/>
  <c r="L15" i="3"/>
  <c r="L14" i="3"/>
  <c r="L13" i="3"/>
  <c r="H15" i="3"/>
  <c r="M41" i="3"/>
  <c r="M90" i="3" s="1"/>
  <c r="D32" i="2" l="1"/>
  <c r="D43" i="2"/>
  <c r="C79" i="3"/>
  <c r="C83" i="3" s="1"/>
  <c r="F31" i="10" s="1"/>
  <c r="F16" i="10"/>
  <c r="J16" i="10" s="1"/>
  <c r="H83" i="3"/>
  <c r="F33" i="10" s="1"/>
  <c r="F18" i="10"/>
  <c r="H65" i="3"/>
  <c r="H69" i="3" s="1"/>
  <c r="E33" i="10" s="1"/>
  <c r="E18" i="10"/>
  <c r="D75" i="3"/>
  <c r="C65" i="3"/>
  <c r="C69" i="3" s="1"/>
  <c r="E31" i="10" s="1"/>
  <c r="D61" i="3"/>
  <c r="E17" i="10" s="1"/>
  <c r="D51" i="3"/>
  <c r="D55" i="3" s="1"/>
  <c r="D32" i="10" s="1"/>
  <c r="C12" i="5"/>
  <c r="B128" i="1" s="1"/>
  <c r="C11" i="5"/>
  <c r="B93" i="1" s="1"/>
  <c r="C10" i="5"/>
  <c r="B126" i="1" s="1"/>
  <c r="C9" i="5"/>
  <c r="B125" i="1" s="1"/>
  <c r="C8" i="5"/>
  <c r="B124" i="1" s="1"/>
  <c r="C7" i="5"/>
  <c r="B55" i="1" s="1"/>
  <c r="C6" i="5"/>
  <c r="C5" i="5"/>
  <c r="B53" i="1" s="1"/>
  <c r="C4" i="5"/>
  <c r="B120" i="1" s="1"/>
  <c r="B122" i="1"/>
  <c r="C3" i="5"/>
  <c r="B85" i="1" s="1"/>
  <c r="C2" i="5"/>
  <c r="B16" i="1" s="1"/>
  <c r="B117" i="1"/>
  <c r="I32" i="1"/>
  <c r="I31" i="1"/>
  <c r="I29" i="1"/>
  <c r="I28" i="1"/>
  <c r="I27" i="1"/>
  <c r="I26" i="1"/>
  <c r="I25" i="1"/>
  <c r="I24" i="1"/>
  <c r="I23" i="1"/>
  <c r="I22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0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47" i="1"/>
  <c r="D15" i="1"/>
  <c r="B90" i="1" l="1"/>
  <c r="B56" i="1"/>
  <c r="B22" i="1"/>
  <c r="B119" i="1"/>
  <c r="J18" i="10"/>
  <c r="D79" i="3"/>
  <c r="D83" i="3" s="1"/>
  <c r="F32" i="10" s="1"/>
  <c r="F17" i="10"/>
  <c r="J17" i="10" s="1"/>
  <c r="B17" i="1"/>
  <c r="B51" i="1"/>
  <c r="B127" i="1"/>
  <c r="B59" i="1"/>
  <c r="B84" i="1"/>
  <c r="B91" i="1"/>
  <c r="B25" i="1"/>
  <c r="B50" i="1"/>
  <c r="B118" i="1"/>
  <c r="B57" i="1"/>
  <c r="B94" i="1"/>
  <c r="B60" i="1"/>
  <c r="B18" i="1"/>
  <c r="B26" i="1"/>
  <c r="D65" i="3"/>
  <c r="D69" i="3" s="1"/>
  <c r="E32" i="10" s="1"/>
  <c r="D21" i="1"/>
  <c r="B24" i="1"/>
  <c r="B52" i="1"/>
  <c r="B86" i="1"/>
  <c r="B92" i="1"/>
  <c r="B58" i="1"/>
  <c r="B54" i="1"/>
  <c r="B123" i="1"/>
  <c r="B20" i="1"/>
  <c r="B87" i="1"/>
  <c r="B21" i="1"/>
  <c r="B88" i="1"/>
  <c r="B19" i="1"/>
  <c r="B89" i="1"/>
  <c r="B23" i="1"/>
  <c r="B121" i="1"/>
  <c r="B83" i="1"/>
  <c r="B15" i="1"/>
  <c r="B49" i="1"/>
  <c r="D23" i="1"/>
  <c r="D24" i="1"/>
  <c r="D17" i="1"/>
  <c r="D26" i="1"/>
  <c r="D18" i="1"/>
  <c r="D16" i="1"/>
  <c r="D19" i="1"/>
  <c r="D25" i="1"/>
  <c r="D20" i="1"/>
  <c r="B163" i="1"/>
  <c r="D22" i="1"/>
  <c r="B196" i="1"/>
  <c r="B61" i="1" l="1"/>
  <c r="G41" i="3"/>
  <c r="D41" i="3"/>
  <c r="C37" i="3"/>
  <c r="C41" i="3" s="1"/>
  <c r="B129" i="1"/>
  <c r="B95" i="1"/>
  <c r="B27" i="1"/>
  <c r="C27" i="10" l="1"/>
  <c r="C33" i="10"/>
  <c r="J33" i="10" s="1"/>
  <c r="H90" i="3"/>
  <c r="C32" i="10"/>
  <c r="J32" i="10" s="1"/>
  <c r="D90" i="3"/>
  <c r="C90" i="3"/>
  <c r="C31" i="10"/>
  <c r="J31" i="10" s="1"/>
  <c r="F90" i="3"/>
  <c r="C28" i="10"/>
  <c r="J28" i="10" s="1"/>
  <c r="G90" i="3"/>
  <c r="C30" i="10"/>
  <c r="J30" i="10" s="1"/>
  <c r="M42" i="3"/>
  <c r="J61" i="3"/>
  <c r="J65" i="3" s="1"/>
  <c r="J69" i="3" s="1"/>
  <c r="E34" i="10" s="1"/>
  <c r="E19" i="10" s="1"/>
  <c r="J75" i="3"/>
  <c r="J79" i="3" s="1"/>
  <c r="J83" i="3" s="1"/>
  <c r="F34" i="10" s="1"/>
  <c r="F19" i="10" s="1"/>
  <c r="J51" i="3"/>
  <c r="J55" i="3" s="1"/>
  <c r="D34" i="10" s="1"/>
  <c r="D19" i="10" l="1"/>
  <c r="J19" i="10" s="1"/>
  <c r="J34" i="10"/>
  <c r="J90" i="3"/>
  <c r="D13" i="2"/>
  <c r="J26" i="3" l="1"/>
  <c r="D35" i="2"/>
  <c r="D24" i="2"/>
  <c r="E51" i="3"/>
  <c r="E55" i="3" s="1"/>
  <c r="D12" i="10"/>
  <c r="E75" i="3"/>
  <c r="E79" i="3" s="1"/>
  <c r="E83" i="3" s="1"/>
  <c r="F27" i="10" s="1"/>
  <c r="E61" i="3"/>
  <c r="E12" i="10" s="1"/>
  <c r="D19" i="2"/>
  <c r="D41" i="2" s="1"/>
  <c r="D27" i="10" l="1"/>
  <c r="D30" i="2"/>
  <c r="E65" i="3"/>
  <c r="E69" i="3" s="1"/>
  <c r="E27" i="10" s="1"/>
  <c r="F12" i="10"/>
  <c r="J12" i="10" s="1"/>
  <c r="E26" i="3"/>
  <c r="J27" i="10" l="1"/>
  <c r="Q39" i="10"/>
  <c r="Q40" i="10" s="1"/>
  <c r="S39" i="10"/>
  <c r="S40" i="10" s="1"/>
  <c r="E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C27" authorId="0" shapeId="0" xr:uid="{4858BD23-C6FE-499C-9483-2788BC560686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175 tpy for R2</t>
        </r>
      </text>
    </comment>
    <comment ref="O27" authorId="0" shapeId="0" xr:uid="{39A3EC69-331E-4E29-A8B2-481F19821372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is a R2 reduction. Prior to R2, NOx=1,152 tpy.</t>
        </r>
      </text>
    </comment>
    <comment ref="C28" authorId="0" shapeId="0" xr:uid="{4BA95413-9FAB-4281-A24B-5FE39739D5AF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6.54 tpy for R2</t>
        </r>
      </text>
    </comment>
    <comment ref="O28" authorId="0" shapeId="0" xr:uid="{DF72CA94-25B6-4A54-9618-6AB460FF21A1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is a R2 reduction. Prior to R2, VOC=80.2 tpy.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I12" authorId="0" shapeId="0" xr:uid="{9BB2B6EB-113A-42E3-AF04-B98345D17CAE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2000 IP application: this is 138477 btu/gal on pdf p. 50
Max 2166 gal/hr</t>
        </r>
      </text>
    </comment>
    <comment ref="K12" authorId="0" shapeId="0" xr:uid="{59160D53-E5D7-4D99-A95B-8B1AEC871F44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App states that this is 8760. Adjusted to 438 based on 5% capacity factor.</t>
        </r>
      </text>
    </comment>
    <comment ref="H13" authorId="0" shapeId="0" xr:uid="{FF5E06CF-837D-45A5-9C90-013F338D5EA0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2024 app: actual is 267,418 MCF pdf p. 40</t>
        </r>
      </text>
    </comment>
    <comment ref="H14" authorId="0" shapeId="0" xr:uid="{45D2F3EA-5078-478F-B2D5-7777E08E989F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2024 app: actual is 219,129 MCF/yr pdf p. 48</t>
        </r>
      </text>
    </comment>
    <comment ref="H15" authorId="0" shapeId="0" xr:uid="{507FC160-2DF1-4987-B24A-713AB2A009B0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2024 app: actual is 123,788 MCF/yr pdf p. 56</t>
        </r>
      </text>
    </comment>
    <comment ref="B45" authorId="0" shapeId="0" xr:uid="{6064BE0B-E1E3-40E3-879E-1AB9B386F66A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App states that the lb/hr  limits aren't applicable during startup and shutdown pdf p. 45</t>
        </r>
      </text>
    </comment>
    <comment ref="M120" authorId="0" shapeId="0" xr:uid="{C1E6802F-EB88-4949-AEB6-BA2632196E59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All limits from IP1 are Mfg Specs/BACT for criteria pollutants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D30" authorId="0" shapeId="0" xr:uid="{31972572-965B-465B-80A3-50C79A772963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exempt based on PADEP 127.14(a)3
less than 10 MMBtu/hr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D29" authorId="0" shapeId="0" xr:uid="{7BC7F578-A777-48FD-BA6D-0C1C7DED38FE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exempt based on PADEP 127.14(a)3
less than 10 MMBtu/hr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B27" authorId="0" shapeId="0" xr:uid="{5D541AE0-F1C6-45C1-9ED2-582AD424C09B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gallons per year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D14" authorId="0" shapeId="0" xr:uid="{073F1425-A3BB-441F-9FC0-82B404C7E371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BI wants a all of these changed to 0.0073 lb/MMBtu per TVOP V.B.1.d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F8" authorId="0" shapeId="0" xr:uid="{E2643780-EBB0-4E22-9845-E666F5F5B609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See 2/24/2024 TVOP application Section 7 pdf p. 120 - 5% capacity factor </t>
        </r>
      </text>
    </comment>
    <comment ref="K13" authorId="0" shapeId="0" xr:uid="{E6694870-C8BB-4C1E-8278-CA70081E536E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IP1 limits
Mfg Specs/BACT</t>
        </r>
      </text>
    </comment>
    <comment ref="N13" authorId="0" shapeId="0" xr:uid="{69C4C033-ED95-44FE-9731-5DE2C31A8A05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These are from tab Brunot Island PTE from copy0056op2024-02-23app.xls</t>
        </r>
      </text>
    </comment>
    <comment ref="O15" authorId="0" shapeId="0" xr:uid="{F1956FE2-F4D5-4EAD-A14E-AEBEE328522F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Co. spreadsheet showing this as 15.8, but they are not asking for a change in the permit.</t>
        </r>
      </text>
    </comment>
    <comment ref="F17" authorId="0" shapeId="0" xr:uid="{0D090286-BAA1-4B04-B40A-E0A459E5E098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The old PA Presumptive RACT NOX limit for the unit is 96 ppmvd @ 15% oxygen (0.37 lb/MMBtu). A 36% capacity factor was used to calculate the annual NOx emissions limit in the TVOP
GenOn requesting removal of presumptive cond. b/c of the 5% cap. factor.
IP#2 states that these will be replaced by 0.698 lb/MMBtu when the ave plan is terminated. See new calc blo.</t>
        </r>
      </text>
    </comment>
    <comment ref="K18" authorId="0" shapeId="0" xr:uid="{947B7D25-0DD3-4B0D-AB8D-3320E9D0145F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IP1 limit = 6.2 lb/hr
2019 TVOP limit = 2.6 lb/hr</t>
        </r>
      </text>
    </comment>
    <comment ref="O18" authorId="0" shapeId="0" xr:uid="{CC42A2C8-F464-4DB8-83F1-581F467E0752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IP1 limit = 27.3 tpy
Co. spreadsheet showing this as 3.0, but they are not asking for a change in the permit.</t>
        </r>
      </text>
    </comment>
    <comment ref="K21" authorId="0" shapeId="0" xr:uid="{A034AD7B-1C2B-4B7B-B646-E76B0756AB6D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Updated calc from BI VOC=2.7 lb/hr
but the IP=3 lb/hr</t>
        </r>
      </text>
    </comment>
    <comment ref="O21" authorId="0" shapeId="0" xr:uid="{D64A9AA8-40C1-415A-898C-70AB84EBE16A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IP1a VOC limit=12 tpy</t>
        </r>
      </text>
    </comment>
    <comment ref="F29" authorId="0" shapeId="0" xr:uid="{B9F61B4A-F22C-4BD2-B54D-8F687A5046B9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See 1A  PPM RACT Calcs tab</t>
        </r>
      </text>
    </comment>
    <comment ref="F30" authorId="0" shapeId="0" xr:uid="{B89FC38B-59EF-43D3-A96F-DD1B92902703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See 1A  PPM RACT Calcs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C39" authorId="0" shapeId="0" xr:uid="{7CD1DF0F-6A74-4C13-9C3A-0C5D5C273D02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matches GeOn's 01-24-2023 R3 Supplemantal letter to ACHD</t>
        </r>
      </text>
    </comment>
    <comment ref="P39" authorId="0" shapeId="0" xr:uid="{96D67940-C667-4F98-B152-91CC3D9E29CE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matches GeOn's 01-24-2023 R3 Supplemantal letter to ACHD</t>
        </r>
      </text>
    </comment>
    <comment ref="C56" authorId="0" shapeId="0" xr:uid="{BE559081-8965-4759-BD96-AE1CFB534032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Would be closer to permit number of 9.22 if  8.3 is input into ppm</t>
        </r>
      </text>
    </comment>
    <comment ref="G68" authorId="0" shapeId="0" xr:uid="{6D243F28-AAB5-4BC3-A3FA-C73B780732DA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from the 2006 tvrv -  0.698 lb/mmbtu; 209.4 lb/hr, and 275.2 tpy is from RACT Order 260</t>
        </r>
      </text>
    </comment>
    <comment ref="L68" authorId="0" shapeId="0" xr:uid="{7FE4BFC4-26E0-491D-B98D-659742533001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Cond. V.A.1.e: shall not exceed 96 ppmvd @ 15% O2 = 0.37 lb/MMBtu</t>
        </r>
      </text>
    </comment>
    <comment ref="H70" authorId="0" shapeId="0" xr:uid="{04B45767-2F4D-4D75-9B80-2D9F3946BA64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per 2008 tvrva - this number is from using the allowable 36% capacity factor</t>
        </r>
      </text>
    </comment>
    <comment ref="G71" authorId="0" shapeId="0" xr:uid="{A67CC229-1D8C-4104-B46D-95168112E528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See note f from emissions summary table from 2006 TVrv and OP#1065009-000-23600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Lipari, Bernadette</author>
  </authors>
  <commentList>
    <comment ref="H34" authorId="0" shapeId="0" xr:uid="{69A4CD6A-2795-4837-B2BA-E3BD4A994AFD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&gt; 60% load
See ract rv2 doc</t>
        </r>
      </text>
    </comment>
    <comment ref="L34" authorId="0" shapeId="0" xr:uid="{31E05124-BFBE-4A2B-96B3-A74B6AC8E033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&lt; 60% load with ave. plan
See ract rv2 doc</t>
        </r>
      </text>
    </comment>
    <comment ref="X34" authorId="0" shapeId="0" xr:uid="{6350A133-0A78-46FD-8664-9041613C9A6A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&gt; 60% load</t>
        </r>
      </text>
    </comment>
    <comment ref="AB34" authorId="0" shapeId="0" xr:uid="{92827032-1B40-41DE-B022-F9F4BBB95F1B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&lt; 60% load with ave. plan</t>
        </r>
      </text>
    </comment>
    <comment ref="C39" authorId="0" shapeId="0" xr:uid="{7013B55D-25CA-486F-B58C-1FDAA2636DBF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matches GeOn's 01-24-2023 R3 Supplemantal letter to ACHD</t>
        </r>
      </text>
    </comment>
    <comment ref="L39" authorId="0" shapeId="0" xr:uid="{9CF7D40D-3106-4E74-9FAD-5F0C22E4CD24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Slightly greater than the presumptive limit of 42 ppm</t>
        </r>
      </text>
    </comment>
    <comment ref="P39" authorId="0" shapeId="0" xr:uid="{3D49964E-80F4-4B89-8794-D5491DCE3705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This matches GeOn's 01-24-2023 R3 Supplemantal letter to ACHD</t>
        </r>
      </text>
    </comment>
    <comment ref="AB39" authorId="0" shapeId="0" xr:uid="{2022EB6F-605E-4D1E-BB35-836846CF1613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Slightly greater than the presumptive limit of 42 ppm</t>
        </r>
      </text>
    </comment>
    <comment ref="H50" authorId="0" shapeId="0" xr:uid="{8AD3F638-E6E8-4835-9705-3D5C6A044257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Actual lb/MMBtu = 0.0033 lb/MMBtu VOC
(See above ERG calc)
CT PTE calc tab uses 0.0030</t>
        </r>
      </text>
    </comment>
    <comment ref="L50" authorId="0" shapeId="0" xr:uid="{C277075A-66F9-4C5F-BDA6-5FA3EAF4D2DE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Actual lb/MMBtu = 0.0033 lb/MMBtu VOC
(See above ERG calc)
CT PTE calc tab uses 0.0030</t>
        </r>
      </text>
    </comment>
    <comment ref="X50" authorId="0" shapeId="0" xr:uid="{FFC8C592-3890-4BA2-98B9-1C20EB108295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Actual lb/MMBtu = 0.0033 lb/MMBtu VOC
(See above ERG calc)
CT PTE calc tab uses 0.0030</t>
        </r>
      </text>
    </comment>
    <comment ref="AB50" authorId="0" shapeId="0" xr:uid="{54C256C1-95A2-49F2-B58E-6D53FABB3FF9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Actual lb/MMBtu = 0.0033 lb/MMBtu VOC
(See above ERG calc)
CT PTE calc tab uses 0.0030</t>
        </r>
      </text>
    </comment>
    <comment ref="I69" authorId="0" shapeId="0" xr:uid="{13491F4F-9CD5-4906-9929-E289EEACA0E6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from the 2006 tvrv -  0.698 lb/mmbtu; 209.4 lb/hr, and 275.2 tpy is from RACT Order 260</t>
        </r>
      </text>
    </comment>
    <comment ref="N69" authorId="0" shapeId="0" xr:uid="{ABA4A8E9-A128-4928-B938-46827F3508BD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Cond. V.A.1.e: shall not exceed 96 ppmvd @ 15% O2 = 0.37 lb/MMBtu</t>
        </r>
      </text>
    </comment>
    <comment ref="J71" authorId="0" shapeId="0" xr:uid="{1B91356B-69B9-41D6-93A2-12610267C1D6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per 2008 tvrva - this number is from using the allowable 36% capacity factor</t>
        </r>
      </text>
    </comment>
    <comment ref="I72" authorId="0" shapeId="0" xr:uid="{F368973F-899D-4629-A865-C658D5938128}">
      <text>
        <r>
          <rPr>
            <b/>
            <sz val="9"/>
            <color indexed="81"/>
            <rFont val="Tahoma"/>
            <family val="2"/>
          </rPr>
          <t>Lipari, Bernadette:</t>
        </r>
        <r>
          <rPr>
            <sz val="9"/>
            <color indexed="81"/>
            <rFont val="Tahoma"/>
            <family val="2"/>
          </rPr>
          <t xml:space="preserve">
See note f from emissions summary table from 2006 TVrv and OP#1065009-000-23600</t>
        </r>
      </text>
    </comment>
  </commentList>
</comments>
</file>

<file path=xl/sharedStrings.xml><?xml version="1.0" encoding="utf-8"?>
<sst xmlns="http://schemas.openxmlformats.org/spreadsheetml/2006/main" count="4481" uniqueCount="688">
  <si>
    <t>Sub-Facility:</t>
  </si>
  <si>
    <t>Date Installed:</t>
  </si>
  <si>
    <t>RATED INPUT (MMBTU/HR):</t>
  </si>
  <si>
    <t>Name:</t>
  </si>
  <si>
    <t>Turbine 1A</t>
  </si>
  <si>
    <t>Miscellaneous Data</t>
  </si>
  <si>
    <t>Oil:</t>
  </si>
  <si>
    <t>Weight of oil</t>
  </si>
  <si>
    <t>lb/gal</t>
  </si>
  <si>
    <t>Fuel:</t>
  </si>
  <si>
    <t>NA</t>
  </si>
  <si>
    <t>Fuel Material Location</t>
  </si>
  <si>
    <t># 2 Fuel Oil</t>
  </si>
  <si>
    <t>Fuel / Material</t>
  </si>
  <si>
    <t>SCC Code</t>
  </si>
  <si>
    <t>% ASH</t>
  </si>
  <si>
    <t>Cooling Tower:</t>
  </si>
  <si>
    <t>% SULFUR</t>
  </si>
  <si>
    <t>Circulating Water Design Rate:</t>
  </si>
  <si>
    <t>GPM</t>
  </si>
  <si>
    <t>Btu / Gal-Lb-CF</t>
  </si>
  <si>
    <t>Design Drift Rate:</t>
  </si>
  <si>
    <t>%</t>
  </si>
  <si>
    <t>TDS of circulating water:</t>
  </si>
  <si>
    <t>ppmw</t>
  </si>
  <si>
    <t>Gallons</t>
  </si>
  <si>
    <t>Hours</t>
  </si>
  <si>
    <t>Hours of Cooling Tower Operation:</t>
  </si>
  <si>
    <t>hours</t>
  </si>
  <si>
    <t>Fuel Use:</t>
  </si>
  <si>
    <t>JAN</t>
  </si>
  <si>
    <t>Weight of gallon of water</t>
  </si>
  <si>
    <t>lbs/gal (AP-42)</t>
  </si>
  <si>
    <t>FEB</t>
  </si>
  <si>
    <t>MAR</t>
  </si>
  <si>
    <t>Cooling Tower particulate emissions</t>
  </si>
  <si>
    <t>APR</t>
  </si>
  <si>
    <t>MAY</t>
  </si>
  <si>
    <t>Cooling Tower - Unit 1</t>
  </si>
  <si>
    <t>JUN</t>
  </si>
  <si>
    <t>JUL</t>
  </si>
  <si>
    <t>Description</t>
  </si>
  <si>
    <t>Value</t>
  </si>
  <si>
    <t>Units</t>
  </si>
  <si>
    <t>Reference</t>
  </si>
  <si>
    <t>AUG</t>
  </si>
  <si>
    <t>Circulating water rate (design)</t>
  </si>
  <si>
    <t>gpm</t>
  </si>
  <si>
    <t>Operating Manual for the Circulating Water System, Marley Cooling Tower Model No. 6516-4-04</t>
  </si>
  <si>
    <t>SEP</t>
  </si>
  <si>
    <t>Weight of water</t>
  </si>
  <si>
    <t>lbs/gal</t>
  </si>
  <si>
    <t>Constant (AP-42)</t>
  </si>
  <si>
    <t>OCT</t>
  </si>
  <si>
    <t>Circulating water</t>
  </si>
  <si>
    <t>lbs/hr</t>
  </si>
  <si>
    <t>NOV</t>
  </si>
  <si>
    <t>Drift rate (design)</t>
  </si>
  <si>
    <t>Fax Dated 11/29/2000 from Marley Cooling Tower Company</t>
  </si>
  <si>
    <t xml:space="preserve"> </t>
  </si>
  <si>
    <t>DEC</t>
  </si>
  <si>
    <t>Water released to atmosphere via droplets</t>
  </si>
  <si>
    <t>Total:</t>
  </si>
  <si>
    <t>Gal / Tons / MCF</t>
  </si>
  <si>
    <t>Total dissolved solids</t>
  </si>
  <si>
    <t>ppm</t>
  </si>
  <si>
    <t>Based on calculations from Brunot Island NPDES Permit Renewal Application, November 1999</t>
  </si>
  <si>
    <t>Conservative estimate of total emissions</t>
  </si>
  <si>
    <t>hours per year (TYP)</t>
  </si>
  <si>
    <t>hrs</t>
  </si>
  <si>
    <t>Potential Operating Hours</t>
  </si>
  <si>
    <t>Operating</t>
  </si>
  <si>
    <t>Days Per Week</t>
  </si>
  <si>
    <t>Time:</t>
  </si>
  <si>
    <t>Total Days</t>
  </si>
  <si>
    <t>PM10  Emissions</t>
  </si>
  <si>
    <t xml:space="preserve"> (tons/year)</t>
  </si>
  <si>
    <t>Total Hours</t>
  </si>
  <si>
    <t>PM2.5 Emissions</t>
  </si>
  <si>
    <t>tons/yr</t>
  </si>
  <si>
    <t>1973-1974</t>
  </si>
  <si>
    <t>Turbine 2A</t>
  </si>
  <si>
    <t>Natural Gas</t>
  </si>
  <si>
    <t>N/A</t>
  </si>
  <si>
    <t>MCF</t>
  </si>
  <si>
    <t>Turbine 2B</t>
  </si>
  <si>
    <t>Turbine 3</t>
  </si>
  <si>
    <t>DS001</t>
  </si>
  <si>
    <t>Starting Diesel</t>
  </si>
  <si>
    <t xml:space="preserve">HP: </t>
  </si>
  <si>
    <t/>
  </si>
  <si>
    <t>FP0001</t>
  </si>
  <si>
    <t>Fire Pump</t>
  </si>
  <si>
    <t>UnitType</t>
  </si>
  <si>
    <t>UnitName</t>
  </si>
  <si>
    <t>Pollutant</t>
  </si>
  <si>
    <t>EF</t>
  </si>
  <si>
    <t>Unit</t>
  </si>
  <si>
    <t>EF Used for Calc</t>
  </si>
  <si>
    <t>EF Used for Calc Unit</t>
  </si>
  <si>
    <t>Input New Default HAPs (112b) and 112r Emission Factors Here</t>
  </si>
  <si>
    <t>Greenhouse Gas Emission Factors</t>
  </si>
  <si>
    <t>Turbines - Oil Fired</t>
  </si>
  <si>
    <t>NH3</t>
  </si>
  <si>
    <t>No factor available</t>
  </si>
  <si>
    <t>40 CFR 98 Table C-1 and C-2</t>
  </si>
  <si>
    <t>FPM</t>
  </si>
  <si>
    <t>lb/MMBtu</t>
  </si>
  <si>
    <t>ACHD TVOP No. 0056</t>
  </si>
  <si>
    <t>PMCond</t>
  </si>
  <si>
    <t>AP-42 Table 3.1-2a</t>
  </si>
  <si>
    <t>Boilers</t>
  </si>
  <si>
    <t>Combustion Turbines</t>
  </si>
  <si>
    <t>Large Diesel Engines</t>
  </si>
  <si>
    <t>Small Diesel Engines</t>
  </si>
  <si>
    <t>Fuel</t>
  </si>
  <si>
    <t>Emission Factor (kg/MMBtu)</t>
  </si>
  <si>
    <t>FPM-10</t>
  </si>
  <si>
    <t>(&gt; 600hp)</t>
  </si>
  <si>
    <t>(&lt; 600hp)</t>
  </si>
  <si>
    <t>CO2</t>
  </si>
  <si>
    <t>N2O</t>
  </si>
  <si>
    <t>CH4</t>
  </si>
  <si>
    <t>FPM 2.5</t>
  </si>
  <si>
    <t>Coal Combustion</t>
  </si>
  <si>
    <t>Oil Combustion</t>
  </si>
  <si>
    <t>Gas Combustion</t>
  </si>
  <si>
    <t>Diesel Combustion</t>
  </si>
  <si>
    <t>Bituminous Coal</t>
  </si>
  <si>
    <t>SO2</t>
  </si>
  <si>
    <t>Subbituminous Coal</t>
  </si>
  <si>
    <t>NOx</t>
  </si>
  <si>
    <t>ACHD Installation Permit No. 0056-I002</t>
  </si>
  <si>
    <t>No.2, Distillate Oil</t>
  </si>
  <si>
    <t>% Pollutant/</t>
  </si>
  <si>
    <t>VOC</t>
  </si>
  <si>
    <t>Calculation using lb/hr limit in IP 0056-I002 and Maximum Design Rate (300 MMBtu/hr)</t>
  </si>
  <si>
    <t>CAS #</t>
  </si>
  <si>
    <t>112(b) ?</t>
  </si>
  <si>
    <t>112(r) ?</t>
  </si>
  <si>
    <t>(lb/ton)</t>
  </si>
  <si>
    <t>(lb/MMBtu)</t>
  </si>
  <si>
    <t>(lb/1000 gal)</t>
  </si>
  <si>
    <t>(lb/10^6 scf)</t>
  </si>
  <si>
    <t>Total VOC</t>
  </si>
  <si>
    <t>Distillate Fuel Oil No. 2</t>
  </si>
  <si>
    <t>CO</t>
  </si>
  <si>
    <t>Calculation using lb/hr limit in TVOP and Maximum Design Rate (300 MMBtu/hr)</t>
  </si>
  <si>
    <t>1,3 Butadiene</t>
  </si>
  <si>
    <t>106-99-0</t>
  </si>
  <si>
    <t>yes</t>
  </si>
  <si>
    <t>Distillate Fuel Oil No. 6</t>
  </si>
  <si>
    <t>1,1,1-Trichloroethane</t>
  </si>
  <si>
    <t>71-55-6</t>
  </si>
  <si>
    <t>Kerosene</t>
  </si>
  <si>
    <t>OC</t>
  </si>
  <si>
    <t>2,3,7,8 -Tetrachlorodibenzo p dioxin</t>
  </si>
  <si>
    <t>1746-01-6</t>
  </si>
  <si>
    <t>Propane</t>
  </si>
  <si>
    <t>Turbines - Gas Fired</t>
  </si>
  <si>
    <t>Calculation using lb/hr limit in TVOP and maximum annual operating hours (8760)</t>
  </si>
  <si>
    <t>2,4-Dinitrotoluene</t>
  </si>
  <si>
    <t>121-14-2</t>
  </si>
  <si>
    <t>2-Chloroacetophenone</t>
  </si>
  <si>
    <t>532-27-4</t>
  </si>
  <si>
    <t>Global Warming Potentials</t>
  </si>
  <si>
    <t>Acetaldehyde</t>
  </si>
  <si>
    <t>75-07-0</t>
  </si>
  <si>
    <t>GHG</t>
  </si>
  <si>
    <t>CAS No</t>
  </si>
  <si>
    <t>GWP</t>
  </si>
  <si>
    <t>Acetophenone</t>
  </si>
  <si>
    <t>98-86-2</t>
  </si>
  <si>
    <t>124-38-9</t>
  </si>
  <si>
    <t>Acrolein</t>
  </si>
  <si>
    <t>107-02-8</t>
  </si>
  <si>
    <t>10024-97-2</t>
  </si>
  <si>
    <t>Antimony</t>
  </si>
  <si>
    <t>7440-36-0</t>
  </si>
  <si>
    <t>74-82-8</t>
  </si>
  <si>
    <t>Arsenic</t>
  </si>
  <si>
    <t>7440-38-2</t>
  </si>
  <si>
    <t>Benzene</t>
  </si>
  <si>
    <t>Benzyl chloride</t>
  </si>
  <si>
    <t>100-44-7</t>
  </si>
  <si>
    <t>Conversions</t>
  </si>
  <si>
    <t>Beryllium</t>
  </si>
  <si>
    <t>7440-41-7</t>
  </si>
  <si>
    <t xml:space="preserve">1 kg = </t>
  </si>
  <si>
    <t>lbs</t>
  </si>
  <si>
    <t>Biphenyl</t>
  </si>
  <si>
    <t>92-52-4</t>
  </si>
  <si>
    <t xml:space="preserve">1 mTon = </t>
  </si>
  <si>
    <t>ton</t>
  </si>
  <si>
    <t>Bis(2-ethylhexyl)phthalate (DEHP)</t>
  </si>
  <si>
    <t>117-81-7</t>
  </si>
  <si>
    <t>Bromoform</t>
  </si>
  <si>
    <t>75-25-2</t>
  </si>
  <si>
    <t>Cadmium</t>
  </si>
  <si>
    <t>7440-43-9</t>
  </si>
  <si>
    <t>Carbon disulfide</t>
  </si>
  <si>
    <t>75-15-0</t>
  </si>
  <si>
    <t>Chlorobenzene</t>
  </si>
  <si>
    <t>108-90-7</t>
  </si>
  <si>
    <t>Chloroform</t>
  </si>
  <si>
    <t>67-66-3</t>
  </si>
  <si>
    <t>Chromium</t>
  </si>
  <si>
    <t>7440-43-7</t>
  </si>
  <si>
    <t>Cobalt</t>
  </si>
  <si>
    <t>7440-48-4</t>
  </si>
  <si>
    <t>Cumene</t>
  </si>
  <si>
    <t>98-82-8</t>
  </si>
  <si>
    <t>Cyanide</t>
  </si>
  <si>
    <t>57-12-5</t>
  </si>
  <si>
    <t>Dichlorobenzene</t>
  </si>
  <si>
    <t>25321-22-6</t>
  </si>
  <si>
    <t>Dimethyl sulfate</t>
  </si>
  <si>
    <t>77-78-1</t>
  </si>
  <si>
    <t>Dioxins (PCDD)</t>
  </si>
  <si>
    <t>Ethyl benzene</t>
  </si>
  <si>
    <t>100-41-4</t>
  </si>
  <si>
    <t>Ethyl chloride</t>
  </si>
  <si>
    <t>75-00-3</t>
  </si>
  <si>
    <t>Ethylene dibromide</t>
  </si>
  <si>
    <t>106-93-4</t>
  </si>
  <si>
    <t>Ethylene dichloride</t>
  </si>
  <si>
    <t>107-06-2</t>
  </si>
  <si>
    <t>Ethylene glycol</t>
  </si>
  <si>
    <t>107-21-1</t>
  </si>
  <si>
    <t>plant specific</t>
  </si>
  <si>
    <t>Formaldehyde</t>
  </si>
  <si>
    <t>50-00-0</t>
  </si>
  <si>
    <t>Furans (PCDF)</t>
  </si>
  <si>
    <t>132-64-9</t>
  </si>
  <si>
    <t>Hexane</t>
  </si>
  <si>
    <t>110-54-3</t>
  </si>
  <si>
    <t>Hydrochloric acid</t>
  </si>
  <si>
    <t>7647-01-0</t>
  </si>
  <si>
    <t>Small Oil-Fired Diesel Engines</t>
  </si>
  <si>
    <t>Hydrochloric acid (&lt;0.05% S)</t>
  </si>
  <si>
    <t>Hydrofluoric acid</t>
  </si>
  <si>
    <t>7664-39-3</t>
  </si>
  <si>
    <t>Isophorone</t>
  </si>
  <si>
    <t>78-59-1</t>
  </si>
  <si>
    <t>Lead</t>
  </si>
  <si>
    <t>7439-92-1</t>
  </si>
  <si>
    <t>Manganese</t>
  </si>
  <si>
    <t>7439-96-5</t>
  </si>
  <si>
    <t>Calculation using % sulfur and fuel heat content</t>
  </si>
  <si>
    <t>Mercury</t>
  </si>
  <si>
    <t>7439-97-6</t>
  </si>
  <si>
    <t>AP-42 Table 3.3-1</t>
  </si>
  <si>
    <t>Methyl bromide</t>
  </si>
  <si>
    <t>74-83-9</t>
  </si>
  <si>
    <t>Methyl chloride</t>
  </si>
  <si>
    <t>74-87-3</t>
  </si>
  <si>
    <t>Methyl hydrazine</t>
  </si>
  <si>
    <t>60-34-4</t>
  </si>
  <si>
    <t>Methyl methacrylate</t>
  </si>
  <si>
    <t>80-62-6</t>
  </si>
  <si>
    <t>Methyl tert butyl ether</t>
  </si>
  <si>
    <t>1634-04-4</t>
  </si>
  <si>
    <t>Methylene chloride</t>
  </si>
  <si>
    <t>75-09-2</t>
  </si>
  <si>
    <t>Naphthalene</t>
  </si>
  <si>
    <t>91-20-3</t>
  </si>
  <si>
    <t>Nickel</t>
  </si>
  <si>
    <t>7440-02-0</t>
  </si>
  <si>
    <t>Phenol</t>
  </si>
  <si>
    <t>108-95-2</t>
  </si>
  <si>
    <t>Polycyclic Organic Matter</t>
  </si>
  <si>
    <t>Propionaldehyde</t>
  </si>
  <si>
    <t>123-38-6</t>
  </si>
  <si>
    <t>Propylene oxide</t>
  </si>
  <si>
    <t>76-56-9</t>
  </si>
  <si>
    <t>Selenium</t>
  </si>
  <si>
    <t>7782-49-2</t>
  </si>
  <si>
    <t>Styrene</t>
  </si>
  <si>
    <t>100-42-5</t>
  </si>
  <si>
    <t>Tetrachloroethylene</t>
  </si>
  <si>
    <t>127-18-4</t>
  </si>
  <si>
    <t>Toluene</t>
  </si>
  <si>
    <t>108-88-3</t>
  </si>
  <si>
    <t>Vinyl acetate</t>
  </si>
  <si>
    <t>108-05-4</t>
  </si>
  <si>
    <t>Xylenes</t>
  </si>
  <si>
    <t>1330-20-7</t>
  </si>
  <si>
    <t>TOTAL VOC HAP</t>
  </si>
  <si>
    <t>References</t>
  </si>
  <si>
    <t>Percent of VOCs that are HAPs (AP-42)</t>
  </si>
  <si>
    <t>1 - AP-42 Table 1.1-13</t>
  </si>
  <si>
    <t>2 - AP-42 Table 1.1-14</t>
  </si>
  <si>
    <t>3 - AP-42 Table 1.1-18</t>
  </si>
  <si>
    <t>4 - AP-42 Table 1.1-19</t>
  </si>
  <si>
    <t>5 - ICR Data, 1998</t>
  </si>
  <si>
    <t>6 - AP-42 Table 1.3-10</t>
  </si>
  <si>
    <t>7 - AP-42 Table 1.3-8</t>
  </si>
  <si>
    <t>8 - EPA FIRE 6.23</t>
  </si>
  <si>
    <t>9 - AP-42 Table 1.4-2</t>
  </si>
  <si>
    <t>10 - AP-42 Table 1.4-3</t>
  </si>
  <si>
    <t>11 - AP-42 Table 1.4-4</t>
  </si>
  <si>
    <t>12 - AP-42 Table 3.4-3</t>
  </si>
  <si>
    <t>13 - AP-42 Table 3.4-4</t>
  </si>
  <si>
    <t>14 - AP-42 Table 3.3-2</t>
  </si>
  <si>
    <t>15 - AP-42 Table 1.1-12</t>
  </si>
  <si>
    <t>16 - Engineering Estimate</t>
  </si>
  <si>
    <t>17 - AP-42 Table 3.1-3</t>
  </si>
  <si>
    <t>18 - AP-42 Table 3.1-4</t>
  </si>
  <si>
    <t>19 - AP-42 Table 3.1-5</t>
  </si>
  <si>
    <t>20 - AP-42 Table 3.1-2a</t>
  </si>
  <si>
    <t>21 - EPRI, not factor available in AP-42</t>
  </si>
  <si>
    <t>23 - No. 2 Fuel Oil Sample Submitted January 14, 2010</t>
  </si>
  <si>
    <t>UNIT 1A</t>
  </si>
  <si>
    <t>UNITS 2A, 2B, 3</t>
  </si>
  <si>
    <t>COOLING TOWER</t>
  </si>
  <si>
    <t>Condition V.B.1.b</t>
  </si>
  <si>
    <t>Condition V.C.1.a</t>
  </si>
  <si>
    <t>Condition V.D - Capacity</t>
  </si>
  <si>
    <t>gal/hr</t>
  </si>
  <si>
    <t>Heat input limit to each HRSG duct burner (MMBtu/hr)</t>
  </si>
  <si>
    <t>Total dissolved solids concentration limit (ppmw)</t>
  </si>
  <si>
    <t>Btu/hr</t>
  </si>
  <si>
    <t>gal/12-mo</t>
  </si>
  <si>
    <t>Condition V.D.1.a(1)</t>
  </si>
  <si>
    <t>Sulfur content max (%)</t>
  </si>
  <si>
    <t>Table V-B-1</t>
  </si>
  <si>
    <t>Table V-C-1</t>
  </si>
  <si>
    <t>Hourly Emission Limit (lb/hr)</t>
  </si>
  <si>
    <t>Annual Emission Limit (tons/year)</t>
  </si>
  <si>
    <t>Particulate Matter</t>
  </si>
  <si>
    <t>PM10</t>
  </si>
  <si>
    <t>Nitrogen Oxides</t>
  </si>
  <si>
    <t>Carbon Monoxide (90-100% full load)</t>
  </si>
  <si>
    <t>Objective:</t>
  </si>
  <si>
    <t>Volatile Organic Compounds</t>
  </si>
  <si>
    <t>Formaldehyde (90-100% full load)</t>
  </si>
  <si>
    <t>References:</t>
  </si>
  <si>
    <t>Formaldehyde (&lt;90% full load)</t>
  </si>
  <si>
    <t>Ammonia</t>
  </si>
  <si>
    <t>Assumptions:</t>
  </si>
  <si>
    <t>Parameters:</t>
  </si>
  <si>
    <t>Design Circulation Rate,  C =</t>
  </si>
  <si>
    <t>(Ref. 1)</t>
  </si>
  <si>
    <t>Total Liquid Drift, LD =</t>
  </si>
  <si>
    <t>(Ref. 2)</t>
  </si>
  <si>
    <t>TDS of Make-up Water =</t>
  </si>
  <si>
    <t>(Ref. 3)</t>
  </si>
  <si>
    <t>Maximum number of Recycles =</t>
  </si>
  <si>
    <t>(Ref. 4)</t>
  </si>
  <si>
    <t>hrs/yr</t>
  </si>
  <si>
    <t>Emission Rates:</t>
  </si>
  <si>
    <t>Hourly PM-10/TSP emissions =</t>
  </si>
  <si>
    <t>Actual annual PM-10/TSP emissions =</t>
  </si>
  <si>
    <t>Potential annual PM-10/TSP emissions =</t>
  </si>
  <si>
    <t>Annual PM-10/TSP emissions, per cell =</t>
  </si>
  <si>
    <t>tons/yr =</t>
  </si>
  <si>
    <t>g/s</t>
  </si>
  <si>
    <t>Table V-A-1:</t>
  </si>
  <si>
    <t>2.  Fax dated 11/29/2000 from Marley Cooling Tower Company.</t>
  </si>
  <si>
    <t>3.  Brunot Island NPDES Permit Renewal Application, November 1999.</t>
  </si>
  <si>
    <t xml:space="preserve">4.  Water Mass Balance, Black &amp; Veatch, Dwgs WMB-4 and WMB-5, 4/21/2000. </t>
  </si>
  <si>
    <t>5.  USEPA AP-42 Section 13.4 Wet Cooling Towers.</t>
  </si>
  <si>
    <t>PM</t>
  </si>
  <si>
    <t xml:space="preserve">Company Name:  </t>
  </si>
  <si>
    <t xml:space="preserve">Address:  </t>
  </si>
  <si>
    <t xml:space="preserve">Title V Operating Permit:  </t>
  </si>
  <si>
    <t xml:space="preserve">Reviewer:  </t>
  </si>
  <si>
    <t xml:space="preserve">  </t>
  </si>
  <si>
    <t xml:space="preserve">Date:  </t>
  </si>
  <si>
    <t>1. Process Description</t>
  </si>
  <si>
    <t>Unit Description</t>
  </si>
  <si>
    <t>Gross Max.Electric Power (MW)</t>
  </si>
  <si>
    <t>Total Heat Input Capacity
(MMBtu/hr)</t>
  </si>
  <si>
    <t>Btu/CF</t>
  </si>
  <si>
    <t>Max. hrs/yr</t>
  </si>
  <si>
    <t>Combined Cycle Power Block (a)</t>
  </si>
  <si>
    <t>Potential to Emit (lbs/hr) (a)</t>
  </si>
  <si>
    <t>PM2.5</t>
  </si>
  <si>
    <t>NOX</t>
  </si>
  <si>
    <t>H2SO4</t>
  </si>
  <si>
    <t>Pb (b)</t>
  </si>
  <si>
    <t>Potential to Emit (lbs/yr)</t>
  </si>
  <si>
    <t>Pb</t>
  </si>
  <si>
    <t>-</t>
  </si>
  <si>
    <t>Potential to Emit (tons/yr)</t>
  </si>
  <si>
    <t>Simple Cylce</t>
  </si>
  <si>
    <t xml:space="preserve">Max. Potential Throughput 
(MMCF/yr) </t>
  </si>
  <si>
    <t>Unit 1A</t>
  </si>
  <si>
    <t>BL</t>
  </si>
  <si>
    <t>Brunot Island Generating Station</t>
  </si>
  <si>
    <t>Brunot Island, Pittsburhg, PA</t>
  </si>
  <si>
    <t>Steady-State hrs/yr</t>
  </si>
  <si>
    <t>Annual Capacity Factor</t>
  </si>
  <si>
    <t>(a) Manufacturer's Spec/BACT - Permit No. 0056-I001</t>
  </si>
  <si>
    <t>SOx</t>
  </si>
  <si>
    <t>Total HAP (incl. CH2O)</t>
  </si>
  <si>
    <t>Total Inorganic HAP</t>
  </si>
  <si>
    <t>Potential to Emit (tpy)</t>
  </si>
  <si>
    <t>Cooling Tower CT-1</t>
  </si>
  <si>
    <t>Diesel Starter Engine (1A-DS)</t>
  </si>
  <si>
    <t>Diesel Fire Pump (FP1)</t>
  </si>
  <si>
    <t>TOTAL</t>
  </si>
  <si>
    <t>See blo</t>
  </si>
  <si>
    <t>5% Capacity Factor Annual Emission Limit (tons/year)</t>
  </si>
  <si>
    <t>Cooling Tower</t>
  </si>
  <si>
    <t>Emissions</t>
  </si>
  <si>
    <t>Calculation</t>
  </si>
  <si>
    <t>Pollutant Type</t>
  </si>
  <si>
    <t>CAS</t>
  </si>
  <si>
    <t>Tons/Year</t>
  </si>
  <si>
    <t>Method</t>
  </si>
  <si>
    <t>7664-41-7</t>
  </si>
  <si>
    <t>ACHD calc</t>
  </si>
  <si>
    <t>630-08-0</t>
  </si>
  <si>
    <t>AP-42</t>
  </si>
  <si>
    <t>10102-44-0</t>
  </si>
  <si>
    <t>Assume equal to PM10</t>
  </si>
  <si>
    <t>SOX</t>
  </si>
  <si>
    <t>7446-09-5</t>
  </si>
  <si>
    <t>Mass Balance</t>
  </si>
  <si>
    <t>1,2,4-Trimethlybenzene</t>
  </si>
  <si>
    <t>95-63-6</t>
  </si>
  <si>
    <t>Acids</t>
  </si>
  <si>
    <t>Fuel Data</t>
  </si>
  <si>
    <t>Dioxins and Furans in lbs/yr.</t>
  </si>
  <si>
    <t>NA - No Factor Available.</t>
  </si>
  <si>
    <t>Total VOC HAPs</t>
  </si>
  <si>
    <t>VOC HAPs &gt; VOC?</t>
  </si>
  <si>
    <t>No</t>
  </si>
  <si>
    <t xml:space="preserve">Emission Factor (lb/hp-hr) </t>
  </si>
  <si>
    <t>Emission Factor 
(lb/MMBtu)</t>
  </si>
  <si>
    <t>Fuel Oil Sulfur Content (%)</t>
  </si>
  <si>
    <t>Engine Type</t>
  </si>
  <si>
    <r>
      <t>SO</t>
    </r>
    <r>
      <rPr>
        <b/>
        <vertAlign val="subscript"/>
        <sz val="10"/>
        <rFont val="Arial MT"/>
      </rPr>
      <t xml:space="preserve">2 </t>
    </r>
    <r>
      <rPr>
        <i/>
        <sz val="10"/>
        <rFont val="Arial MT"/>
      </rPr>
      <t>(0.0081S)</t>
    </r>
  </si>
  <si>
    <t>HAPs</t>
  </si>
  <si>
    <r>
      <t xml:space="preserve">Diesel-fired Engines &gt; 600 hp </t>
    </r>
    <r>
      <rPr>
        <vertAlign val="superscript"/>
        <sz val="10"/>
        <rFont val="Arial"/>
        <family val="2"/>
      </rPr>
      <t>1a</t>
    </r>
  </si>
  <si>
    <t>Fuel Oil Heat Content (MMBtu/kgal)</t>
  </si>
  <si>
    <r>
      <t xml:space="preserve">Diesel-fired Engines &lt; 600 hp </t>
    </r>
    <r>
      <rPr>
        <vertAlign val="superscript"/>
        <sz val="10"/>
        <rFont val="Arial"/>
        <family val="2"/>
      </rPr>
      <t>1b</t>
    </r>
  </si>
  <si>
    <r>
      <t xml:space="preserve">Article XXI, §2104.02.a.1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(lb/MMBtu)</t>
    </r>
  </si>
  <si>
    <r>
      <t>1a</t>
    </r>
    <r>
      <rPr>
        <sz val="10"/>
        <rFont val="Arial"/>
        <family val="2"/>
      </rPr>
      <t xml:space="preserve"> Emission factors for diesel engines are from AP 42, Chapter 3.4, Tables 3.4-1, 3.4-2, 3.4-3 and 3.4-4. (10/96)</t>
    </r>
  </si>
  <si>
    <r>
      <t xml:space="preserve">1b </t>
    </r>
    <r>
      <rPr>
        <sz val="10"/>
        <rFont val="Arial"/>
        <family val="2"/>
      </rPr>
      <t>Emission factors for diesel engines are from AP 42, Chapter 3.3, Tables 3.3-1 and 3.3-2. (10/96)</t>
    </r>
  </si>
  <si>
    <r>
      <t>2</t>
    </r>
    <r>
      <rPr>
        <sz val="10"/>
        <rFont val="Arial"/>
        <family val="2"/>
      </rPr>
      <t xml:space="preserve"> Pursuant to §2104.02.a.1, particulate emissions from combustion units with heat input greater than 0.5 MMBtu per hour shall not exceed 0.28 lb/MMBtu of actual heat input at any time while combusting grade no. 2 fuel oil.</t>
    </r>
  </si>
  <si>
    <t xml:space="preserve">Potential to Emit (lbs/hr) </t>
  </si>
  <si>
    <t>Power Output (KW)</t>
  </si>
  <si>
    <t>Power Output (hp)</t>
  </si>
  <si>
    <t>Maximum Heat Input Capacity
(MMBtu/hr)</t>
  </si>
  <si>
    <r>
      <t>SO</t>
    </r>
    <r>
      <rPr>
        <b/>
        <vertAlign val="subscript"/>
        <sz val="10"/>
        <rFont val="Arial MT"/>
      </rPr>
      <t xml:space="preserve">2 </t>
    </r>
  </si>
  <si>
    <t>Annual Fuel Consumption (gal)</t>
  </si>
  <si>
    <t>Hours of Operation (hr/yr)</t>
  </si>
  <si>
    <t xml:space="preserve">Potential to Emit (tons/yr) </t>
  </si>
  <si>
    <t xml:space="preserve">Emission Factor (lb/MMBtu) </t>
  </si>
  <si>
    <r>
      <t xml:space="preserve">Diesel-fired Engines </t>
    </r>
    <r>
      <rPr>
        <vertAlign val="superscript"/>
        <sz val="10"/>
        <rFont val="Arial"/>
        <family val="2"/>
      </rPr>
      <t>1a</t>
    </r>
  </si>
  <si>
    <r>
      <t>1a</t>
    </r>
    <r>
      <rPr>
        <sz val="10"/>
        <rFont val="Arial"/>
        <family val="2"/>
      </rPr>
      <t xml:space="preserve"> Emission factors for diesel engines are from AP 42, Chapter 3.3, Tables 3.3-1. (10/96)</t>
    </r>
  </si>
  <si>
    <t>Fire Pump (FP0001)</t>
  </si>
  <si>
    <t>Starting Diesel (DS001)</t>
  </si>
  <si>
    <t>tpy</t>
  </si>
  <si>
    <t>Total Potential to Emit (tons/yr)</t>
  </si>
  <si>
    <r>
      <t>SO</t>
    </r>
    <r>
      <rPr>
        <b/>
        <vertAlign val="subscript"/>
        <sz val="10"/>
        <rFont val="Arial MT"/>
      </rPr>
      <t xml:space="preserve">2 </t>
    </r>
    <r>
      <rPr>
        <i/>
        <sz val="10"/>
        <rFont val="Arial MT"/>
      </rPr>
      <t>(0.0081S)</t>
    </r>
    <r>
      <rPr>
        <b/>
        <sz val="10"/>
        <rFont val="Arial MT"/>
      </rPr>
      <t xml:space="preserve"> </t>
    </r>
    <r>
      <rPr>
        <b/>
        <vertAlign val="superscript"/>
        <sz val="10"/>
        <rFont val="Arial MT"/>
      </rPr>
      <t>4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</si>
  <si>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AP-42, Table 3.4-1; Diesel Engines &gt;600hp. Diesel fuel sulfur content = 0.0015% (15 ppm)</t>
    </r>
  </si>
  <si>
    <r>
      <t xml:space="preserve">3 </t>
    </r>
    <r>
      <rPr>
        <sz val="10"/>
        <rFont val="Arial"/>
        <family val="2"/>
      </rPr>
      <t>AP-42, Table 3.3-1; Diesel Engines &lt;600hp.</t>
    </r>
  </si>
  <si>
    <r>
      <t>SO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3</t>
    </r>
  </si>
  <si>
    <r>
      <t>NO</t>
    </r>
    <r>
      <rPr>
        <b/>
        <vertAlign val="subscript"/>
        <sz val="10"/>
        <rFont val="Arial MT"/>
      </rPr>
      <t>X</t>
    </r>
  </si>
  <si>
    <r>
      <t>PM</t>
    </r>
    <r>
      <rPr>
        <b/>
        <vertAlign val="subscript"/>
        <sz val="10"/>
        <rFont val="Arial MT"/>
      </rPr>
      <t>10</t>
    </r>
  </si>
  <si>
    <t>Check: Annual Emission Limit (tpy)</t>
  </si>
  <si>
    <t>Nitrogen Oxides (RACT III)</t>
  </si>
  <si>
    <t>Firing Capacity (MMBtu/hr)</t>
  </si>
  <si>
    <t xml:space="preserve">(a) Permit No. OP#1065006-000-23600/RACT </t>
  </si>
  <si>
    <r>
      <t xml:space="preserve">Hourly Emission Limit (lb/hr)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</si>
  <si>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OP#1065009-000-23600/RACT</t>
    </r>
  </si>
  <si>
    <r>
      <rPr>
        <strike/>
        <sz val="11"/>
        <color theme="1"/>
        <rFont val="Calibri"/>
        <family val="2"/>
        <scheme val="minor"/>
      </rPr>
      <t>No units</t>
    </r>
    <r>
      <rPr>
        <sz val="11"/>
        <color theme="1"/>
        <rFont val="Calibri"/>
        <family val="2"/>
        <scheme val="minor"/>
      </rPr>
      <t xml:space="preserve"> lb/MMBtu</t>
    </r>
  </si>
  <si>
    <t>(ACHD TVOP No. 0056) IP1; Article XXI 2104.02.a.1.A</t>
  </si>
  <si>
    <t>Emission Facotrs (lb/MMBTU)</t>
  </si>
  <si>
    <t>Emission Factors (lb/MMBTU)</t>
  </si>
  <si>
    <t>(a) Manufacturer's Spec/BACT - Permit No. 0056-I001a</t>
  </si>
  <si>
    <t>Potential to Emit (lb/hr)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</si>
  <si>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IP#0056-I001a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</si>
  <si>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IP#0056-I001b</t>
    </r>
  </si>
  <si>
    <r>
      <t xml:space="preserve">Carbon Monoxide (&lt;90% full load)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</si>
  <si>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Sulfur Oxides </t>
    </r>
    <r>
      <rPr>
        <vertAlign val="superscript"/>
        <sz val="11"/>
        <color theme="1"/>
        <rFont val="Calibri"/>
        <family val="2"/>
        <scheme val="minor"/>
      </rPr>
      <t>2</t>
    </r>
  </si>
  <si>
    <t>lb/MMBTU</t>
  </si>
  <si>
    <t>AP-42 3.1-4</t>
  </si>
  <si>
    <t>PAHs</t>
  </si>
  <si>
    <t>Hydrochloric Acid</t>
  </si>
  <si>
    <t>lb/1000 gal</t>
  </si>
  <si>
    <t>1/14/2010 Test Data</t>
  </si>
  <si>
    <t>AP-42 3.1-5</t>
  </si>
  <si>
    <t>Total HAPs</t>
  </si>
  <si>
    <t>AP-42 3.1-3</t>
  </si>
  <si>
    <t>TVOP 
Table V-B-1</t>
  </si>
  <si>
    <t>EF = Permit hourly limit/Firing Capacity</t>
  </si>
  <si>
    <t>Unit 2A: Potential Emissions</t>
  </si>
  <si>
    <t>Unit 3: Potential Emissions</t>
  </si>
  <si>
    <t>Permit Limits 
(TVOP Table V-B-1)</t>
  </si>
  <si>
    <t>lbs/hr/unit</t>
  </si>
  <si>
    <t>tons/yr/unit</t>
  </si>
  <si>
    <t>Potential Emissions
(Annual Emissions Based on 5% Capacity Factor)</t>
  </si>
  <si>
    <t>Permit Limits 
(TVOP Table V-B-1 &amp; RACT Installation Permit 056-I002)</t>
  </si>
  <si>
    <t>Unit 2A</t>
  </si>
  <si>
    <t>Unit 2B</t>
  </si>
  <si>
    <t>Unit 3</t>
  </si>
  <si>
    <t>Units 2A, 2B, &amp; 3</t>
  </si>
  <si>
    <t>3. Combustion Emissions - Criteria Pollutants</t>
  </si>
  <si>
    <t>2. Emission Factors</t>
  </si>
  <si>
    <t>4. Combustion Emissions - Total</t>
  </si>
  <si>
    <t>5. Combustion Emissions - HAPs</t>
  </si>
  <si>
    <t>AP-42 3.3-2</t>
  </si>
  <si>
    <t>Propylene</t>
  </si>
  <si>
    <t>Potential Emissions</t>
  </si>
  <si>
    <r>
      <t xml:space="preserve">Fuel Test Data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</si>
  <si>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Calculation:  E.F. x 2172 gal/hr / 1000; (300 MMBtu/hr x 1000000 / 138000 Btu/gal = 2172 gal/hr; 138000 Btu/gal is the Gross Caloric Value of #2 Fuel Oil (BTU/gal from 2024 E.I.)</t>
    </r>
  </si>
  <si>
    <t>Note: per 6-30-2000 application; each unit is 898 MMBtu/hr and 1020 BTU/scf</t>
  </si>
  <si>
    <t>Note: Per IP1a, the HRSG = 240 MMBtu/hr</t>
  </si>
  <si>
    <t>Note: BACT standard or PM since IP1 has been 0.015 lb/MMbtu for PM</t>
  </si>
  <si>
    <t>0056-OP25</t>
  </si>
  <si>
    <t xml:space="preserve">Remaining solid particles in the evaporating water are within the </t>
  </si>
  <si>
    <t>PM-10 size range, therefore, TSP = PM-10.</t>
  </si>
  <si>
    <t xml:space="preserve">To determine the particulate emissions from the existing cooling </t>
  </si>
  <si>
    <t>tower at Brunot Island Power Station.</t>
  </si>
  <si>
    <t xml:space="preserve">1.  Operating Manual for the Circulating Water System, Brunot Island Station; </t>
  </si>
  <si>
    <t>Marley Cooling Tower Model No. 6516-4-04.</t>
  </si>
  <si>
    <t xml:space="preserve">A 5% capacity factor was used to calculate the </t>
  </si>
  <si>
    <t>Emission limit = (0.698 lb / MMBtu) x (300 MMBtu / hr) = 209.4 lb/hr.</t>
  </si>
  <si>
    <t>x (1 ton / 2000 lb) = 45.86 ton/year.</t>
  </si>
  <si>
    <t xml:space="preserve">for the unit is 0.698 lb/MMBtu. </t>
  </si>
  <si>
    <t xml:space="preserve">Emission limit = (209.4 lb / hr) x (8760 hr / yr) x (5% capacity factor) </t>
  </si>
  <si>
    <r>
      <t>Table V-A-1a from Installation Permit No. 0056-I002 (</t>
    </r>
    <r>
      <rPr>
        <b/>
        <sz val="11"/>
        <color theme="1"/>
        <rFont val="Calibri"/>
        <family val="2"/>
        <scheme val="minor"/>
      </rPr>
      <t>w/o averaging plan</t>
    </r>
    <r>
      <rPr>
        <sz val="11"/>
        <color theme="1"/>
        <rFont val="Calibri"/>
        <family val="2"/>
        <scheme val="minor"/>
      </rPr>
      <t>):</t>
    </r>
  </si>
  <si>
    <t>TDS of Circulating Water, TDS =</t>
  </si>
  <si>
    <t>Density of Water, d =</t>
  </si>
  <si>
    <t>Actual Operating Hours, Ha =</t>
  </si>
  <si>
    <t>Potential Operating Hours, Hp =</t>
  </si>
  <si>
    <t>Number of Cells in Tower =</t>
  </si>
  <si>
    <t>Calculation:</t>
  </si>
  <si>
    <t>(Based on Reference 5)</t>
  </si>
  <si>
    <t>Hourly PM-10/TSP emissions (lb/hr) = C x 60 min/hr x LD x d x (TDS/1E+06)</t>
  </si>
  <si>
    <t xml:space="preserve">Actual annual PM-10/TSP emissions (tpy) = hourly emissions x Ha / 2000 lbs/ton </t>
  </si>
  <si>
    <t xml:space="preserve">Potential annual PM-10/TSP emissions (tpy) = hourly emissions x Hp / 2000 lbs/ton </t>
  </si>
  <si>
    <t xml:space="preserve">TVOP 0056-OP25 Permit Limits </t>
  </si>
  <si>
    <t>Permit limit w/ 5% capacity factor limit</t>
  </si>
  <si>
    <t>Condition V.A.1.m:</t>
  </si>
  <si>
    <r>
      <t>Since the termination of the Cheswick Averaging Plan, the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limit </t>
    </r>
  </si>
  <si>
    <r>
      <t>annual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emissions limit in the TVOP.</t>
    </r>
  </si>
  <si>
    <t>IP#0056-I002; Issued on 2/28/2020:</t>
  </si>
  <si>
    <t>ACHD TVOP No. 0056a</t>
  </si>
  <si>
    <r>
      <t xml:space="preserve">Particulate Matter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</si>
  <si>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PM10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</si>
  <si>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Nitrogen Oxides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</si>
  <si>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Volatile Organic Compounds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</si>
  <si>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Sulfur Oxides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</si>
  <si>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Carbon Monoxide 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</si>
  <si>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OP#0056a</t>
    </r>
  </si>
  <si>
    <r>
      <rPr>
        <sz val="11"/>
        <color theme="1"/>
        <rFont val="Calibri"/>
        <family val="2"/>
        <scheme val="minor"/>
      </rPr>
      <t xml:space="preserve">Hourly Emission Limit (lb/hr) 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</si>
  <si>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r>
      <rPr>
        <sz val="11"/>
        <color rgb="FFFF0000"/>
        <rFont val="Calibri"/>
        <family val="2"/>
        <scheme val="minor"/>
      </rPr>
      <t>Btu / Gal</t>
    </r>
    <r>
      <rPr>
        <sz val="11"/>
        <color theme="1"/>
        <rFont val="Calibri"/>
        <family val="2"/>
        <scheme val="minor"/>
      </rPr>
      <t>-Lb-CF</t>
    </r>
  </si>
  <si>
    <r>
      <rPr>
        <sz val="11"/>
        <color rgb="FFFF0000"/>
        <rFont val="Calibri"/>
        <family val="2"/>
        <scheme val="minor"/>
      </rPr>
      <t>Btu</t>
    </r>
    <r>
      <rPr>
        <sz val="11"/>
        <color theme="1"/>
        <rFont val="Calibri"/>
        <family val="2"/>
        <scheme val="minor"/>
      </rPr>
      <t xml:space="preserve"> / Gal-Lb-</t>
    </r>
    <r>
      <rPr>
        <sz val="11"/>
        <color rgb="FFFF0000"/>
        <rFont val="Calibri"/>
        <family val="2"/>
        <scheme val="minor"/>
      </rPr>
      <t>CF</t>
    </r>
  </si>
  <si>
    <t>Hours:</t>
  </si>
  <si>
    <t>(0.0128 moles VOC/min) x (60 min/hr) x (12 lb VOC/moles) = 9.22 lbs/hr</t>
  </si>
  <si>
    <t>(0.00002) x (616,667 acfm ) = 12.33 acfm VOC = 0.0128 moles VOC</t>
  </si>
  <si>
    <r>
      <t>The stack exhaust = 616,667 acfm. Allowable VOC = 0.002% on a wet basis. One mole equals 965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at exhaust</t>
    </r>
  </si>
  <si>
    <r>
      <t xml:space="preserve">conditions which gives 0.0128 moles VOC per minute. One mole of VOCs as carbon equals 12 pounds. </t>
    </r>
    <r>
      <rPr>
        <vertAlign val="superscript"/>
        <sz val="11"/>
        <color theme="1"/>
        <rFont val="Calibri"/>
        <family val="2"/>
        <scheme val="minor"/>
      </rPr>
      <t>a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</si>
  <si>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OP# 0056 Technical Support Document; Issed on 2/6/2006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</si>
  <si>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OP#0056-OP19/IP#0056-I002 with Cheswick Ave Plan</t>
    </r>
  </si>
  <si>
    <t>Convert from lb/MMBtu to ppm for NOx (oil firing)</t>
  </si>
  <si>
    <t>New RACT Limit</t>
  </si>
  <si>
    <t>Inputs Required in the Conversion</t>
  </si>
  <si>
    <t>Oxygen (%)</t>
  </si>
  <si>
    <t>Fd (dcf/MMBtu); See EPA Method 19   http://www.epa.gov/ttn/emc/</t>
  </si>
  <si>
    <t>NOx Conversion factor (lb/scf/ppm);  See EPRI Publication (page 135 of 142)   http://www.epri.com/abstracts/Pages/ProductAbstract.aspx?ProductId=000000000001011341</t>
  </si>
  <si>
    <t>ppm at 15% Oxygen</t>
  </si>
  <si>
    <t>Convert from lb/MMBtu to ppm for THC (oil firing)</t>
  </si>
  <si>
    <t>Total VOC is often referred as total hydrocarbon (THC).</t>
  </si>
  <si>
    <t>lb/MMBtu (the same as the current operating permit)</t>
  </si>
  <si>
    <t>THC Conversion factor (lb/scf/ppm);  Calculated from an assumed molecular weight</t>
  </si>
  <si>
    <t>Input</t>
  </si>
  <si>
    <t>PPM Output</t>
  </si>
  <si>
    <t>Capacity of Each SC Turbine (MMBtu/hr)</t>
  </si>
  <si>
    <t>Convert from ppm to lb/MMBtu for NOx (oil firing)</t>
  </si>
  <si>
    <t>ppm at % Oxygen</t>
  </si>
  <si>
    <t>% Oxygen</t>
  </si>
  <si>
    <t>Fd - dscf/MMBtu</t>
  </si>
  <si>
    <t>lb/scf/ppm</t>
  </si>
  <si>
    <t>lb/hr</t>
  </si>
  <si>
    <t>ton/yr</t>
  </si>
  <si>
    <t>Convert from ppm to lb/MMBtu for THC (oil firing)</t>
  </si>
  <si>
    <t>Brunot Island Unit 1A</t>
  </si>
  <si>
    <t>(ERG Calculation Method)</t>
  </si>
  <si>
    <t>(Fd (dcf/MMBtu); See EPA Method 19   http://www.epa.gov/ttn/emc/) ??</t>
  </si>
  <si>
    <t>(THC Conversion factor (lb/scf/ppm);  Calculated from an assumed molecular weight)  ??</t>
  </si>
  <si>
    <t>ACHD Calculation Method (RACT II PPMs)</t>
  </si>
  <si>
    <t xml:space="preserve">(NOx Conversion factor (lb/scf/ppm);  See EPRI Publication (page 135 of 142)   </t>
  </si>
  <si>
    <t>http://www.epri.com/abstracts/Pages/ProductAbstract.aspx?ProductId=000000000001011341)  ??</t>
  </si>
  <si>
    <t>ACHD Calculation Method (RACT III PPMs)</t>
  </si>
  <si>
    <t>Note:  This does not meet the RACT III presumptive limit of 96 ppm.</t>
  </si>
  <si>
    <t>Note: This meets the RACT presumptive limit of 9 ppm.</t>
  </si>
  <si>
    <t>Convert from lb/MMBtu to ppm for NOx (NG firing)</t>
  </si>
  <si>
    <t>ppm at 15% Oxygen (a)</t>
  </si>
  <si>
    <t>(a) Less restrictive than the current operating permit limit i.e., 3.5 ppm</t>
  </si>
  <si>
    <t>Convert from lb/MMBtu to ppm for THC (NG firing)</t>
  </si>
  <si>
    <t>Capacity of Each CC Turbine (MMBtu/hr)</t>
  </si>
  <si>
    <t>HV=</t>
  </si>
  <si>
    <t>btu/scf</t>
  </si>
  <si>
    <t>MMcf</t>
  </si>
  <si>
    <t>Convert from ppm to lb/MMBtu for NOx (NG firing)</t>
  </si>
  <si>
    <t>Fd - dcf/MMBtu</t>
  </si>
  <si>
    <t>ppm at % Oxygen chosen</t>
  </si>
  <si>
    <t>Calc check using conversion factors in EPRI document.</t>
  </si>
  <si>
    <t>NOX Emissions for Each CC Turbine (lb/hr)</t>
  </si>
  <si>
    <t>NOX Emissions for Each CC Turbine (ton/yr)</t>
  </si>
  <si>
    <t>Convert from ppm to lb/MMBtu for THC (NG firing)</t>
  </si>
  <si>
    <t>THC Emissions for Each CC Turbine (lb/hr)</t>
  </si>
  <si>
    <t>THC Emissions for Each CC Turbine (ton/yr)</t>
  </si>
  <si>
    <t>Brunot Island Units 2A, 2B, &amp; 3</t>
  </si>
  <si>
    <t>Article XXI 2104.02.a.1.A</t>
  </si>
  <si>
    <t>ACHD Calculation Method (RACT II Presumptive PPMs)</t>
  </si>
  <si>
    <t>ACHD Calculation Method (RACT II Actual PPMs based off lb/MMBtu)</t>
  </si>
  <si>
    <t>ACHD Calculation Method (RACT III Actual PPMs based off lb/MMBtu)</t>
  </si>
  <si>
    <t xml:space="preserve">NOX (lb/hr) ea. CC Turbine </t>
  </si>
  <si>
    <t xml:space="preserve">NOX (ton/yr) ea. CC Turbine </t>
  </si>
  <si>
    <t xml:space="preserve">THC (lb/hr) ea. CC Turbine </t>
  </si>
  <si>
    <t xml:space="preserve">THC (ton/yr) ea. CC Turbine </t>
  </si>
  <si>
    <t>2.7/3.0</t>
  </si>
  <si>
    <t>ton/yr (36% capacity factor)</t>
  </si>
  <si>
    <t>MMBtu/hr</t>
  </si>
  <si>
    <t>2006 TVOP</t>
  </si>
  <si>
    <t>2008 TVOP</t>
  </si>
  <si>
    <t>2011 TVOP</t>
  </si>
  <si>
    <t>2019 TVOP</t>
  </si>
  <si>
    <t>IP2 R2</t>
  </si>
  <si>
    <t>capacity</t>
  </si>
  <si>
    <t>w/ave</t>
  </si>
  <si>
    <t>w/o ave</t>
  </si>
  <si>
    <t>Units 2A, 2B, 3</t>
  </si>
  <si>
    <t>918 (ea)</t>
  </si>
  <si>
    <t>&gt;60%</t>
  </si>
  <si>
    <t>full load</t>
  </si>
  <si>
    <t>lb/hr (ea.)</t>
  </si>
  <si>
    <t>tpy (ea.)</t>
  </si>
  <si>
    <t>IP1</t>
  </si>
  <si>
    <t>IP1a</t>
  </si>
  <si>
    <t>IP1b</t>
  </si>
  <si>
    <t>IP1c</t>
  </si>
  <si>
    <t>IP2</t>
  </si>
  <si>
    <t>Past Permit Limit Reference Table</t>
  </si>
  <si>
    <t>-OR-</t>
  </si>
  <si>
    <t>ACHD Calculation Method (RACT III Prersumptive PPMs)</t>
  </si>
  <si>
    <t>Note: This meets the RACT presumptive limit of 5 ppm.</t>
  </si>
  <si>
    <t>Note: This meets the RACT presumptive limit of 42 ppm.</t>
  </si>
  <si>
    <t xml:space="preserve">NOTE: These are tpy limits based on RACT II presumtive limits of 42 ppm </t>
  </si>
  <si>
    <t>and 5 pmm, these are not the actual ppms for the units - see right column for actual</t>
  </si>
  <si>
    <t>Actual: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</si>
  <si>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IP#0056-I002 without Cheswick Ave Plan</t>
    </r>
  </si>
  <si>
    <t>ton/yr (5% capacity factor)</t>
  </si>
  <si>
    <t>2025 TVOP</t>
  </si>
  <si>
    <t>R3</t>
  </si>
  <si>
    <r>
      <t xml:space="preserve">Daily Emission Limit (lb/day)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</si>
  <si>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IP#0056-I001a</t>
    </r>
  </si>
  <si>
    <r>
      <t xml:space="preserve">DIESEL STARTER ENGINE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</si>
  <si>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DIESEL FIRE PUMP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</si>
  <si>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OP# 0056; Issed on 2/15/2011</t>
    </r>
  </si>
  <si>
    <t>However, it does meet 25 Pa Code 129.112(c) 9 (ii) of less than 5% capacity.</t>
  </si>
  <si>
    <t>Capacity of Each SC Turbine (MW)</t>
  </si>
  <si>
    <t>https://pknergypower.com/difference-between-mw-and-mwh/</t>
  </si>
  <si>
    <r>
      <t>MWh:</t>
    </r>
    <r>
      <rPr>
        <sz val="11"/>
        <color rgb="FF000000"/>
        <rFont val="Calibri"/>
        <family val="2"/>
        <scheme val="minor"/>
      </rPr>
      <t xml:space="preserve">If the same power plant operates for 1 hour, it will generate </t>
    </r>
  </si>
  <si>
    <t xml:space="preserve">10 MWh of energy. In other words, MWh is the result of multiplying MW </t>
  </si>
  <si>
    <r>
      <t>MW:</t>
    </r>
    <r>
      <rPr>
        <sz val="11"/>
        <color rgb="FF000000"/>
        <rFont val="Calibri"/>
        <family val="2"/>
        <scheme val="minor"/>
      </rPr>
      <t xml:space="preserve">If a power plant has a capacity of 10 MW, it can generate </t>
    </r>
  </si>
  <si>
    <t>10 megawatts of power at any given time.</t>
  </si>
  <si>
    <t xml:space="preserve">by time (hours). </t>
  </si>
  <si>
    <t>annual (hours) @ 5% capacity</t>
  </si>
  <si>
    <t>Note:</t>
  </si>
  <si>
    <t>25 Pa Code 129.112(c) 9 (ii)</t>
  </si>
  <si>
    <t>[12-month rolling power generation for all units (in MWH)] x 100</t>
  </si>
  <si>
    <t xml:space="preserve">[Maximum electrical capacity (in MW)] x 8760 hrs </t>
  </si>
  <si>
    <r>
      <t xml:space="preserve">Volatile Organic Compounds (RACT III) </t>
    </r>
    <r>
      <rPr>
        <vertAlign val="superscript"/>
        <sz val="11"/>
        <color theme="1"/>
        <rFont val="Calibri"/>
        <family val="2"/>
        <scheme val="minor"/>
      </rPr>
      <t>3</t>
    </r>
  </si>
  <si>
    <t>2019 Permit Totals</t>
  </si>
  <si>
    <t>Note: 2019 PTE (51.7x3 + 175 + 4.4 + 2.21)=336.7 ;  (51.7x3 + 175)=330.1</t>
  </si>
  <si>
    <t>Note: 2019 PTE (12x3+6.54+0.4+0.18)=43.12;  (12x3+6.54)=42.54</t>
  </si>
  <si>
    <t>Summary of Emissions</t>
  </si>
  <si>
    <t>Btu/Gal</t>
  </si>
  <si>
    <t>Notes: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</si>
  <si>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IP#0056-I001/Manf. Specs./BACT/IP#0056-I001a</t>
    </r>
  </si>
  <si>
    <t>RACT Notes:</t>
  </si>
  <si>
    <r>
      <t xml:space="preserve">RACT </t>
    </r>
    <r>
      <rPr>
        <sz val="11"/>
        <color rgb="FFFF0000"/>
        <rFont val="Calibri"/>
        <family val="2"/>
        <scheme val="minor"/>
      </rPr>
      <t>III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NOx Reduction</t>
    </r>
  </si>
  <si>
    <r>
      <t xml:space="preserve">RACT </t>
    </r>
    <r>
      <rPr>
        <sz val="11"/>
        <color rgb="FFFF0000"/>
        <rFont val="Calibri"/>
        <family val="2"/>
        <scheme val="minor"/>
      </rPr>
      <t xml:space="preserve">III CT </t>
    </r>
    <r>
      <rPr>
        <sz val="11"/>
        <color theme="1"/>
        <rFont val="Calibri"/>
        <family val="2"/>
        <scheme val="minor"/>
      </rPr>
      <t>NOx Reduction</t>
    </r>
  </si>
  <si>
    <t>Only no.2 fuel oil with a maximum sulfur content of 0.2%</t>
  </si>
  <si>
    <t>Condition V.A.1.a. – Revise 0.5% to 0.2%; Condition V.A.1.g – revised 0.50 lb/MMBtu to 0.21 lb/MMBtu</t>
  </si>
  <si>
    <t>OP# 0056; Issed on 2/16/2006:</t>
  </si>
  <si>
    <t>OP# 0056a; Issed on 3/14/2008:</t>
  </si>
  <si>
    <t>Condition V.A.1.h. – Revised CO from 0.50 ppm to 50 ppm at 15% O2</t>
  </si>
  <si>
    <t>Allowable VOC = 0.002% of stack gas volume as carbon (20 ppm)</t>
  </si>
  <si>
    <t>Units 2A, 2B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</si>
</sst>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6" formatCode="0.000000"/>
    <numFmt numFmtId="167" formatCode="0.0"/>
    <numFmt numFmtId="168" formatCode="0.00000"/>
    <numFmt numFmtId="169" formatCode="0.0E+00"/>
    <numFmt numFmtId="170" formatCode="#,##0.0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0"/>
      <name val="Arial MT"/>
    </font>
    <font>
      <b/>
      <vertAlign val="subscript"/>
      <sz val="10"/>
      <name val="Arial MT"/>
    </font>
    <font>
      <i/>
      <sz val="10"/>
      <name val="Arial MT"/>
    </font>
    <font>
      <vertAlign val="superscript"/>
      <sz val="10"/>
      <name val="Arial"/>
      <family val="2"/>
    </font>
    <font>
      <sz val="10"/>
      <name val="Arial MT"/>
    </font>
    <font>
      <sz val="10"/>
      <color theme="1"/>
      <name val="Aerial"/>
    </font>
    <font>
      <b/>
      <sz val="10"/>
      <color theme="1"/>
      <name val="Aerial"/>
    </font>
    <font>
      <sz val="11"/>
      <color theme="2"/>
      <name val="Calibri"/>
      <family val="2"/>
      <scheme val="minor"/>
    </font>
    <font>
      <sz val="10"/>
      <name val="Aerial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name val="Arial MT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9945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7E777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11" fillId="0" borderId="0"/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4" xfId="0" applyFont="1" applyBorder="1"/>
    <xf numFmtId="14" fontId="0" fillId="0" borderId="2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vertical="center" readingOrder="1"/>
    </xf>
    <xf numFmtId="0" fontId="0" fillId="0" borderId="0" xfId="0" applyAlignment="1">
      <alignment horizontal="right"/>
    </xf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0" fontId="1" fillId="0" borderId="9" xfId="0" applyFont="1" applyBorder="1"/>
    <xf numFmtId="0" fontId="0" fillId="0" borderId="10" xfId="0" applyBorder="1"/>
    <xf numFmtId="0" fontId="0" fillId="0" borderId="14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4" fillId="0" borderId="9" xfId="0" applyFont="1" applyBorder="1"/>
    <xf numFmtId="0" fontId="5" fillId="0" borderId="9" xfId="0" applyFont="1" applyBorder="1"/>
    <xf numFmtId="0" fontId="6" fillId="0" borderId="9" xfId="0" applyFont="1" applyBorder="1"/>
    <xf numFmtId="14" fontId="0" fillId="0" borderId="0" xfId="0" applyNumberForma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Alignment="1">
      <alignment wrapText="1"/>
    </xf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9" fillId="0" borderId="0" xfId="0" applyFont="1"/>
    <xf numFmtId="0" fontId="12" fillId="0" borderId="14" xfId="2" applyFont="1" applyBorder="1" applyAlignment="1">
      <alignment horizontal="center"/>
    </xf>
    <xf numFmtId="0" fontId="0" fillId="0" borderId="15" xfId="0" applyBorder="1"/>
    <xf numFmtId="0" fontId="12" fillId="0" borderId="13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1" fontId="16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11" fontId="16" fillId="0" borderId="13" xfId="2" applyNumberFormat="1" applyFont="1" applyBorder="1" applyAlignment="1">
      <alignment horizontal="center"/>
    </xf>
    <xf numFmtId="11" fontId="16" fillId="0" borderId="9" xfId="2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165" fontId="16" fillId="0" borderId="13" xfId="2" applyNumberFormat="1" applyFont="1" applyBorder="1" applyAlignment="1">
      <alignment horizontal="center"/>
    </xf>
    <xf numFmtId="165" fontId="16" fillId="0" borderId="9" xfId="2" applyNumberFormat="1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left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1" fontId="16" fillId="0" borderId="0" xfId="2" applyNumberFormat="1" applyFont="1" applyAlignment="1">
      <alignment horizontal="left"/>
    </xf>
    <xf numFmtId="0" fontId="12" fillId="0" borderId="14" xfId="2" applyFont="1" applyBorder="1" applyAlignment="1">
      <alignment horizontal="left"/>
    </xf>
    <xf numFmtId="0" fontId="0" fillId="0" borderId="15" xfId="0" applyBorder="1" applyAlignment="1">
      <alignment horizontal="center"/>
    </xf>
    <xf numFmtId="0" fontId="6" fillId="0" borderId="9" xfId="0" quotePrefix="1" applyFont="1" applyBorder="1" applyAlignment="1">
      <alignment horizontal="right"/>
    </xf>
    <xf numFmtId="0" fontId="19" fillId="0" borderId="0" xfId="0" applyFont="1"/>
    <xf numFmtId="165" fontId="6" fillId="0" borderId="9" xfId="0" applyNumberFormat="1" applyFont="1" applyBorder="1"/>
    <xf numFmtId="2" fontId="6" fillId="0" borderId="9" xfId="0" applyNumberFormat="1" applyFont="1" applyBorder="1"/>
    <xf numFmtId="0" fontId="0" fillId="0" borderId="13" xfId="0" applyBorder="1"/>
    <xf numFmtId="0" fontId="0" fillId="0" borderId="0" xfId="0" applyAlignment="1">
      <alignment horizontal="center" wrapText="1"/>
    </xf>
    <xf numFmtId="0" fontId="2" fillId="5" borderId="9" xfId="0" applyFont="1" applyFill="1" applyBorder="1"/>
    <xf numFmtId="2" fontId="0" fillId="0" borderId="0" xfId="0" applyNumberFormat="1" applyAlignment="1">
      <alignment horizontal="center"/>
    </xf>
    <xf numFmtId="0" fontId="17" fillId="0" borderId="9" xfId="0" applyFont="1" applyBorder="1" applyAlignment="1">
      <alignment horizontal="center"/>
    </xf>
    <xf numFmtId="0" fontId="20" fillId="0" borderId="9" xfId="0" applyFont="1" applyBorder="1"/>
    <xf numFmtId="0" fontId="21" fillId="0" borderId="0" xfId="0" applyFont="1" applyAlignment="1">
      <alignment horizontal="left"/>
    </xf>
    <xf numFmtId="0" fontId="21" fillId="0" borderId="9" xfId="0" applyFont="1" applyBorder="1" applyAlignment="1">
      <alignment horizontal="center"/>
    </xf>
    <xf numFmtId="166" fontId="16" fillId="0" borderId="9" xfId="2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9" fontId="0" fillId="0" borderId="9" xfId="0" applyNumberFormat="1" applyBorder="1"/>
    <xf numFmtId="2" fontId="2" fillId="0" borderId="9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165" fontId="0" fillId="0" borderId="9" xfId="0" applyNumberFormat="1" applyBorder="1"/>
    <xf numFmtId="164" fontId="6" fillId="0" borderId="9" xfId="0" applyNumberFormat="1" applyFont="1" applyBorder="1"/>
    <xf numFmtId="0" fontId="0" fillId="0" borderId="5" xfId="0" applyBorder="1" applyAlignment="1">
      <alignment wrapText="1"/>
    </xf>
    <xf numFmtId="0" fontId="6" fillId="4" borderId="9" xfId="0" applyFont="1" applyFill="1" applyBorder="1"/>
    <xf numFmtId="0" fontId="0" fillId="6" borderId="9" xfId="0" applyFill="1" applyBorder="1"/>
    <xf numFmtId="0" fontId="0" fillId="0" borderId="9" xfId="0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11" fontId="0" fillId="0" borderId="0" xfId="0" applyNumberFormat="1"/>
    <xf numFmtId="0" fontId="30" fillId="0" borderId="0" xfId="0" applyFont="1"/>
    <xf numFmtId="165" fontId="6" fillId="0" borderId="0" xfId="0" applyNumberFormat="1" applyFont="1"/>
    <xf numFmtId="168" fontId="6" fillId="0" borderId="9" xfId="0" applyNumberFormat="1" applyFont="1" applyBorder="1"/>
    <xf numFmtId="164" fontId="0" fillId="0" borderId="9" xfId="0" applyNumberFormat="1" applyBorder="1"/>
    <xf numFmtId="0" fontId="21" fillId="0" borderId="9" xfId="0" applyFont="1" applyBorder="1" applyAlignment="1">
      <alignment horizontal="center" vertical="center"/>
    </xf>
    <xf numFmtId="170" fontId="21" fillId="0" borderId="9" xfId="0" applyNumberFormat="1" applyFont="1" applyBorder="1" applyAlignment="1">
      <alignment horizontal="center" vertical="center"/>
    </xf>
    <xf numFmtId="170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11" fontId="21" fillId="0" borderId="12" xfId="0" applyNumberFormat="1" applyFont="1" applyBorder="1" applyAlignment="1">
      <alignment horizontal="center" vertical="center"/>
    </xf>
    <xf numFmtId="11" fontId="21" fillId="0" borderId="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indent="2"/>
    </xf>
    <xf numFmtId="1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7" fontId="21" fillId="0" borderId="0" xfId="0" applyNumberFormat="1" applyFont="1" applyAlignment="1">
      <alignment horizontal="center"/>
    </xf>
    <xf numFmtId="11" fontId="0" fillId="0" borderId="9" xfId="0" applyNumberFormat="1" applyBorder="1"/>
    <xf numFmtId="0" fontId="29" fillId="0" borderId="0" xfId="0" applyFont="1"/>
    <xf numFmtId="165" fontId="29" fillId="0" borderId="0" xfId="0" applyNumberFormat="1" applyFont="1" applyAlignment="1">
      <alignment horizontal="center"/>
    </xf>
    <xf numFmtId="11" fontId="0" fillId="0" borderId="13" xfId="0" applyNumberFormat="1" applyBorder="1"/>
    <xf numFmtId="11" fontId="17" fillId="0" borderId="9" xfId="0" applyNumberFormat="1" applyFont="1" applyBorder="1" applyAlignment="1">
      <alignment horizontal="center"/>
    </xf>
    <xf numFmtId="11" fontId="20" fillId="0" borderId="9" xfId="0" applyNumberFormat="1" applyFont="1" applyBorder="1"/>
    <xf numFmtId="1" fontId="0" fillId="0" borderId="0" xfId="0" applyNumberFormat="1" applyAlignment="1">
      <alignment horizontal="center" wrapText="1"/>
    </xf>
    <xf numFmtId="0" fontId="12" fillId="0" borderId="12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3" xfId="2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horizontal="left"/>
    </xf>
    <xf numFmtId="167" fontId="32" fillId="0" borderId="9" xfId="0" applyNumberFormat="1" applyFont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" fontId="32" fillId="0" borderId="16" xfId="0" applyNumberFormat="1" applyFont="1" applyBorder="1" applyAlignment="1">
      <alignment horizontal="center" vertical="center"/>
    </xf>
    <xf numFmtId="167" fontId="32" fillId="0" borderId="9" xfId="0" applyNumberFormat="1" applyFont="1" applyBorder="1" applyAlignment="1">
      <alignment horizontal="center"/>
    </xf>
    <xf numFmtId="16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70" fontId="0" fillId="0" borderId="9" xfId="0" applyNumberFormat="1" applyBorder="1" applyAlignment="1">
      <alignment horizontal="center" vertical="center" wrapText="1"/>
    </xf>
    <xf numFmtId="11" fontId="0" fillId="0" borderId="9" xfId="0" applyNumberFormat="1" applyBorder="1" applyAlignment="1">
      <alignment horizontal="center"/>
    </xf>
    <xf numFmtId="0" fontId="0" fillId="0" borderId="0" xfId="0" applyAlignment="1">
      <alignment horizontal="left" indent="2"/>
    </xf>
    <xf numFmtId="11" fontId="0" fillId="0" borderId="0" xfId="0" applyNumberFormat="1" applyAlignment="1">
      <alignment horizontal="center"/>
    </xf>
    <xf numFmtId="167" fontId="0" fillId="0" borderId="9" xfId="0" applyNumberFormat="1" applyBorder="1" applyAlignment="1">
      <alignment horizontal="center" vertical="center"/>
    </xf>
    <xf numFmtId="1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21" fillId="0" borderId="9" xfId="0" applyFont="1" applyBorder="1" applyAlignment="1">
      <alignment horizontal="center" vertical="center" wrapText="1"/>
    </xf>
    <xf numFmtId="11" fontId="1" fillId="0" borderId="11" xfId="0" applyNumberFormat="1" applyFont="1" applyBorder="1"/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1" fontId="1" fillId="0" borderId="9" xfId="0" applyNumberFormat="1" applyFont="1" applyBorder="1"/>
    <xf numFmtId="0" fontId="21" fillId="0" borderId="9" xfId="0" applyFont="1" applyBorder="1" applyAlignment="1">
      <alignment horizontal="left" vertical="center" indent="2"/>
    </xf>
    <xf numFmtId="0" fontId="9" fillId="0" borderId="13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1" fillId="7" borderId="9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2"/>
    </xf>
    <xf numFmtId="1" fontId="32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indent="2"/>
    </xf>
    <xf numFmtId="0" fontId="1" fillId="7" borderId="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right"/>
    </xf>
    <xf numFmtId="0" fontId="6" fillId="5" borderId="9" xfId="0" applyFont="1" applyFill="1" applyBorder="1"/>
    <xf numFmtId="3" fontId="0" fillId="0" borderId="0" xfId="0" applyNumberFormat="1"/>
    <xf numFmtId="0" fontId="0" fillId="0" borderId="0" xfId="0" quotePrefix="1"/>
    <xf numFmtId="167" fontId="0" fillId="0" borderId="0" xfId="0" applyNumberFormat="1"/>
    <xf numFmtId="0" fontId="33" fillId="0" borderId="0" xfId="0" applyFont="1"/>
    <xf numFmtId="0" fontId="0" fillId="8" borderId="9" xfId="0" applyFill="1" applyBorder="1"/>
    <xf numFmtId="0" fontId="0" fillId="8" borderId="9" xfId="0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3" borderId="0" xfId="0" applyFill="1"/>
    <xf numFmtId="1" fontId="0" fillId="0" borderId="9" xfId="0" applyNumberFormat="1" applyBorder="1"/>
    <xf numFmtId="3" fontId="0" fillId="0" borderId="9" xfId="0" applyNumberFormat="1" applyBorder="1"/>
    <xf numFmtId="11" fontId="0" fillId="0" borderId="2" xfId="0" applyNumberFormat="1" applyBorder="1" applyAlignment="1">
      <alignment horizontal="right" vertical="center"/>
    </xf>
    <xf numFmtId="11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/>
    </xf>
    <xf numFmtId="1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/>
    <xf numFmtId="11" fontId="0" fillId="0" borderId="12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3" fontId="0" fillId="10" borderId="0" xfId="0" applyNumberFormat="1" applyFill="1"/>
    <xf numFmtId="0" fontId="0" fillId="11" borderId="0" xfId="0" applyFill="1"/>
    <xf numFmtId="1" fontId="0" fillId="0" borderId="0" xfId="0" applyNumberFormat="1"/>
    <xf numFmtId="11" fontId="0" fillId="12" borderId="0" xfId="0" applyNumberFormat="1" applyFill="1"/>
    <xf numFmtId="0" fontId="0" fillId="2" borderId="0" xfId="0" applyFill="1"/>
    <xf numFmtId="0" fontId="0" fillId="7" borderId="0" xfId="0" applyFill="1"/>
    <xf numFmtId="164" fontId="0" fillId="3" borderId="0" xfId="0" applyNumberFormat="1" applyFill="1"/>
    <xf numFmtId="165" fontId="0" fillId="0" borderId="0" xfId="0" applyNumberFormat="1"/>
    <xf numFmtId="168" fontId="0" fillId="0" borderId="0" xfId="0" applyNumberFormat="1"/>
    <xf numFmtId="164" fontId="0" fillId="12" borderId="0" xfId="0" applyNumberFormat="1" applyFill="1"/>
    <xf numFmtId="2" fontId="0" fillId="13" borderId="0" xfId="0" applyNumberFormat="1" applyFill="1"/>
    <xf numFmtId="165" fontId="0" fillId="13" borderId="0" xfId="0" applyNumberFormat="1" applyFill="1"/>
    <xf numFmtId="9" fontId="0" fillId="0" borderId="0" xfId="0" applyNumberFormat="1"/>
    <xf numFmtId="0" fontId="2" fillId="0" borderId="0" xfId="0" applyFont="1"/>
    <xf numFmtId="9" fontId="0" fillId="0" borderId="0" xfId="0" applyNumberFormat="1" applyAlignment="1">
      <alignment horizontal="right"/>
    </xf>
    <xf numFmtId="0" fontId="35" fillId="0" borderId="0" xfId="0" applyFont="1"/>
    <xf numFmtId="0" fontId="0" fillId="0" borderId="0" xfId="0" quotePrefix="1" applyAlignment="1">
      <alignment horizontal="center"/>
    </xf>
    <xf numFmtId="164" fontId="0" fillId="0" borderId="0" xfId="0" applyNumberFormat="1"/>
    <xf numFmtId="164" fontId="0" fillId="9" borderId="0" xfId="0" applyNumberFormat="1" applyFill="1"/>
    <xf numFmtId="2" fontId="0" fillId="13" borderId="0" xfId="0" applyNumberFormat="1" applyFill="1" applyAlignment="1">
      <alignment horizontal="right" vertical="center" wrapText="1"/>
    </xf>
    <xf numFmtId="0" fontId="1" fillId="0" borderId="0" xfId="0" applyFont="1" applyAlignment="1">
      <alignment horizontal="left"/>
    </xf>
    <xf numFmtId="0" fontId="0" fillId="13" borderId="0" xfId="0" applyFill="1"/>
    <xf numFmtId="3" fontId="0" fillId="10" borderId="7" xfId="0" applyNumberFormat="1" applyFill="1" applyBorder="1"/>
    <xf numFmtId="0" fontId="37" fillId="0" borderId="0" xfId="0" applyFont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65" fontId="29" fillId="0" borderId="0" xfId="0" applyNumberFormat="1" applyFont="1"/>
    <xf numFmtId="2" fontId="29" fillId="0" borderId="0" xfId="0" applyNumberFormat="1" applyFont="1"/>
    <xf numFmtId="165" fontId="0" fillId="0" borderId="0" xfId="0" applyNumberFormat="1" applyAlignment="1">
      <alignment horizontal="center"/>
    </xf>
    <xf numFmtId="165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68" fontId="1" fillId="0" borderId="0" xfId="0" applyNumberFormat="1" applyFont="1"/>
    <xf numFmtId="168" fontId="0" fillId="0" borderId="9" xfId="0" applyNumberFormat="1" applyBorder="1"/>
    <xf numFmtId="168" fontId="1" fillId="0" borderId="9" xfId="0" applyNumberFormat="1" applyFont="1" applyBorder="1"/>
    <xf numFmtId="0" fontId="1" fillId="3" borderId="0" xfId="0" applyFont="1" applyFill="1"/>
    <xf numFmtId="0" fontId="0" fillId="14" borderId="0" xfId="0" applyFill="1"/>
    <xf numFmtId="1" fontId="0" fillId="15" borderId="0" xfId="0" applyNumberFormat="1" applyFill="1"/>
    <xf numFmtId="167" fontId="0" fillId="15" borderId="0" xfId="0" applyNumberFormat="1" applyFill="1"/>
    <xf numFmtId="164" fontId="0" fillId="14" borderId="0" xfId="0" applyNumberFormat="1" applyFill="1"/>
    <xf numFmtId="0" fontId="38" fillId="16" borderId="0" xfId="0" applyFont="1" applyFill="1"/>
    <xf numFmtId="0" fontId="0" fillId="16" borderId="0" xfId="0" applyFill="1"/>
    <xf numFmtId="0" fontId="1" fillId="16" borderId="0" xfId="0" applyFont="1" applyFill="1"/>
    <xf numFmtId="0" fontId="38" fillId="0" borderId="0" xfId="0" applyFont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0" fillId="0" borderId="12" xfId="0" applyFont="1" applyBorder="1" applyAlignment="1">
      <alignment horizontal="center"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horizontal="left"/>
    </xf>
    <xf numFmtId="11" fontId="10" fillId="0" borderId="1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4" fontId="9" fillId="0" borderId="12" xfId="0" quotePrefix="1" applyNumberFormat="1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1" fontId="10" fillId="0" borderId="12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1" fontId="16" fillId="0" borderId="9" xfId="2" applyNumberFormat="1" applyFont="1" applyBorder="1" applyAlignment="1">
      <alignment horizontal="center"/>
    </xf>
    <xf numFmtId="11" fontId="10" fillId="0" borderId="9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5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2" xfId="2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11" fontId="10" fillId="0" borderId="15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164" fontId="9" fillId="0" borderId="9" xfId="0" quotePrefix="1" applyNumberFormat="1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9" fillId="0" borderId="12" xfId="0" applyFont="1" applyBorder="1" applyAlignment="1">
      <alignment horizontal="left" wrapText="1"/>
    </xf>
    <xf numFmtId="0" fontId="0" fillId="4" borderId="9" xfId="0" applyFill="1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4" borderId="10" xfId="0" applyFill="1" applyBorder="1" applyAlignment="1">
      <alignment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7" fillId="6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 4" xfId="1" xr:uid="{AA627990-3656-4BCC-8048-5EE009492E76}"/>
    <cellStyle name="Normal_14519gen" xfId="2" xr:uid="{84D455DC-94CE-4B91-A937-9F6E5E105715}"/>
  </cellStyles>
  <dxfs count="0"/>
  <tableStyles count="0" defaultTableStyle="TableStyleMedium2" defaultPivotStyle="PivotStyleLight16"/>
  <colors>
    <mruColors>
      <color rgb="FFFFFF99"/>
      <color rgb="FFB7E777"/>
      <color rgb="FFABDE80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F886-F81D-4DAA-A733-9778836FC408}">
  <dimension ref="B1:S46"/>
  <sheetViews>
    <sheetView workbookViewId="0">
      <pane xSplit="2" topLeftCell="C1" activePane="topRight" state="frozen"/>
      <selection pane="topRight" activeCell="L9" sqref="L9"/>
    </sheetView>
  </sheetViews>
  <sheetFormatPr defaultRowHeight="14.4"/>
  <cols>
    <col min="2" max="2" width="20.6640625" customWidth="1"/>
    <col min="3" max="7" width="12.5546875" customWidth="1"/>
    <col min="8" max="8" width="24.44140625" bestFit="1" customWidth="1"/>
    <col min="9" max="9" width="20.33203125" customWidth="1"/>
    <col min="10" max="10" width="12.5546875" customWidth="1"/>
    <col min="11" max="13" width="8.88671875" customWidth="1"/>
  </cols>
  <sheetData>
    <row r="1" spans="2:10">
      <c r="E1" s="21" t="s">
        <v>363</v>
      </c>
      <c r="F1" t="s">
        <v>389</v>
      </c>
    </row>
    <row r="2" spans="2:10">
      <c r="E2" s="21" t="s">
        <v>364</v>
      </c>
      <c r="F2" t="s">
        <v>390</v>
      </c>
    </row>
    <row r="3" spans="2:10">
      <c r="E3" s="21" t="s">
        <v>365</v>
      </c>
      <c r="F3" t="s">
        <v>513</v>
      </c>
    </row>
    <row r="4" spans="2:10">
      <c r="E4" s="21" t="s">
        <v>366</v>
      </c>
      <c r="F4" t="s">
        <v>388</v>
      </c>
    </row>
    <row r="5" spans="2:10">
      <c r="E5" s="21" t="s">
        <v>368</v>
      </c>
      <c r="F5" s="37">
        <v>45517</v>
      </c>
    </row>
    <row r="7" spans="2:10" ht="18">
      <c r="F7" s="231" t="s">
        <v>674</v>
      </c>
      <c r="G7" s="232"/>
    </row>
    <row r="8" spans="2:10" ht="14.4" customHeight="1">
      <c r="F8" s="234"/>
    </row>
    <row r="9" spans="2:10">
      <c r="B9" s="233"/>
      <c r="C9" s="233" t="s">
        <v>474</v>
      </c>
      <c r="D9" s="233"/>
      <c r="E9" s="233"/>
      <c r="F9" s="233"/>
      <c r="G9" s="233"/>
      <c r="H9" s="233"/>
      <c r="I9" s="233"/>
      <c r="J9" s="233"/>
    </row>
    <row r="10" spans="2:10">
      <c r="B10" s="233" t="s">
        <v>95</v>
      </c>
      <c r="C10" s="233" t="s">
        <v>97</v>
      </c>
      <c r="D10" s="233"/>
      <c r="E10" s="233"/>
      <c r="F10" s="233"/>
      <c r="G10" s="233"/>
      <c r="H10" s="233"/>
      <c r="I10" s="233"/>
      <c r="J10" s="233" t="s">
        <v>401</v>
      </c>
    </row>
    <row r="11" spans="2:10">
      <c r="B11" s="233"/>
      <c r="C11" s="233" t="s">
        <v>4</v>
      </c>
      <c r="D11" s="233" t="s">
        <v>81</v>
      </c>
      <c r="E11" s="233" t="s">
        <v>85</v>
      </c>
      <c r="F11" s="233" t="s">
        <v>86</v>
      </c>
      <c r="G11" s="233" t="s">
        <v>398</v>
      </c>
      <c r="H11" s="233" t="s">
        <v>399</v>
      </c>
      <c r="I11" s="233" t="s">
        <v>400</v>
      </c>
      <c r="J11" s="233"/>
    </row>
    <row r="12" spans="2:10">
      <c r="B12" t="s">
        <v>131</v>
      </c>
      <c r="C12">
        <f>'Brunot Island CT PTE'!E33</f>
        <v>209.39999999999998</v>
      </c>
      <c r="D12">
        <f>'Brunot Island CT PTE'!E47</f>
        <v>11.8</v>
      </c>
      <c r="E12">
        <f>'Brunot Island CT PTE'!E61</f>
        <v>11.8</v>
      </c>
      <c r="F12">
        <f>'Brunot Island CT PTE'!E75</f>
        <v>11.8</v>
      </c>
      <c r="G12" s="21" t="s">
        <v>10</v>
      </c>
      <c r="H12">
        <f>Generator!J30</f>
        <v>14.994</v>
      </c>
      <c r="I12">
        <f>'Fire Pump'!J29</f>
        <v>9.261000000000001</v>
      </c>
      <c r="J12" s="217">
        <f>SUM(C12:I12)</f>
        <v>269.05500000000001</v>
      </c>
    </row>
    <row r="13" spans="2:10">
      <c r="B13" t="s">
        <v>135</v>
      </c>
      <c r="C13">
        <f>'Brunot Island CT PTE'!F33</f>
        <v>9.2200000000000006</v>
      </c>
      <c r="D13" s="103">
        <f>'Brunot Island CT PTE'!F47</f>
        <v>3</v>
      </c>
      <c r="E13">
        <f>'Brunot Island CT PTE'!F61</f>
        <v>3</v>
      </c>
      <c r="F13">
        <f>'Brunot Island CT PTE'!F75</f>
        <v>3</v>
      </c>
      <c r="G13" s="21" t="s">
        <v>10</v>
      </c>
      <c r="H13">
        <f>Generator!K30</f>
        <v>1.19</v>
      </c>
      <c r="I13">
        <f>'Fire Pump'!K29</f>
        <v>0.73499999999999999</v>
      </c>
      <c r="J13" s="217">
        <f t="shared" ref="J13:J18" si="0">SUM(C13:I13)</f>
        <v>20.145</v>
      </c>
    </row>
    <row r="14" spans="2:10">
      <c r="B14" t="s">
        <v>244</v>
      </c>
      <c r="C14">
        <f>'Brunot Island CT PTE'!L33</f>
        <v>4.1999999999999997E-3</v>
      </c>
      <c r="D14" s="21" t="s">
        <v>10</v>
      </c>
      <c r="E14" s="21" t="s">
        <v>10</v>
      </c>
      <c r="F14" s="21" t="s">
        <v>10</v>
      </c>
      <c r="G14" s="21" t="s">
        <v>10</v>
      </c>
      <c r="H14" s="21" t="s">
        <v>10</v>
      </c>
      <c r="I14" s="21" t="s">
        <v>10</v>
      </c>
      <c r="J14" s="217">
        <f t="shared" si="0"/>
        <v>4.1999999999999997E-3</v>
      </c>
    </row>
    <row r="15" spans="2:10">
      <c r="B15" t="s">
        <v>146</v>
      </c>
      <c r="C15">
        <f>'Brunot Island CT PTE'!G33</f>
        <v>35.5</v>
      </c>
      <c r="D15">
        <f>'Brunot Island CT PTE'!G47</f>
        <v>40</v>
      </c>
      <c r="E15">
        <f>'Brunot Island CT PTE'!G61</f>
        <v>40</v>
      </c>
      <c r="F15">
        <f>'Brunot Island CT PTE'!G75</f>
        <v>40</v>
      </c>
      <c r="G15" s="21" t="s">
        <v>10</v>
      </c>
      <c r="H15">
        <f>Generator!L30</f>
        <v>3.23</v>
      </c>
      <c r="I15">
        <f>'Fire Pump'!L29</f>
        <v>1.9949999999999999</v>
      </c>
      <c r="J15" s="217">
        <f t="shared" si="0"/>
        <v>160.72499999999999</v>
      </c>
    </row>
    <row r="16" spans="2:10">
      <c r="B16" t="s">
        <v>330</v>
      </c>
      <c r="C16">
        <f>'Brunot Island CT PTE'!C33</f>
        <v>1.5</v>
      </c>
      <c r="D16">
        <f>'Brunot Island CT PTE'!C47</f>
        <v>6.7</v>
      </c>
      <c r="E16">
        <f>'Brunot Island CT PTE'!C61</f>
        <v>6.7</v>
      </c>
      <c r="F16">
        <f>'Brunot Island CT PTE'!C75</f>
        <v>6.7</v>
      </c>
      <c r="G16" s="213">
        <f>'Cooling Tower'!C25</f>
        <v>2.2277807999999997</v>
      </c>
      <c r="H16">
        <f>Generator!H30</f>
        <v>0.95200000000000007</v>
      </c>
      <c r="I16">
        <f>'Fire Pump'!H29</f>
        <v>0.58800000000000008</v>
      </c>
      <c r="J16" s="217">
        <f t="shared" si="0"/>
        <v>25.367780800000002</v>
      </c>
    </row>
    <row r="17" spans="2:16">
      <c r="B17" t="s">
        <v>377</v>
      </c>
      <c r="C17">
        <f>'Brunot Island CT PTE'!D33</f>
        <v>1.5</v>
      </c>
      <c r="D17">
        <f>'Brunot Island CT PTE'!D47</f>
        <v>6.7</v>
      </c>
      <c r="E17">
        <f>'Brunot Island CT PTE'!D61</f>
        <v>6.7</v>
      </c>
      <c r="F17">
        <f>'Brunot Island CT PTE'!D75</f>
        <v>6.7</v>
      </c>
      <c r="G17" s="213">
        <f>'Cooling Tower'!C25</f>
        <v>2.2277807999999997</v>
      </c>
      <c r="H17">
        <f>Generator!G30</f>
        <v>0.95200000000000007</v>
      </c>
      <c r="I17">
        <f>'Fire Pump'!H29</f>
        <v>0.58800000000000008</v>
      </c>
      <c r="J17" s="217">
        <f t="shared" si="0"/>
        <v>25.367780800000002</v>
      </c>
    </row>
    <row r="18" spans="2:16">
      <c r="B18" t="s">
        <v>394</v>
      </c>
      <c r="C18">
        <f>'Brunot Island CT PTE'!H33</f>
        <v>63</v>
      </c>
      <c r="D18">
        <f>'Brunot Island CT PTE'!H47</f>
        <v>2.6</v>
      </c>
      <c r="E18">
        <f>'Brunot Island CT PTE'!H61</f>
        <v>2.6</v>
      </c>
      <c r="F18">
        <f>'Brunot Island CT PTE'!H75</f>
        <v>2.6</v>
      </c>
      <c r="G18" s="21" t="s">
        <v>10</v>
      </c>
      <c r="H18">
        <f>Generator!I30</f>
        <v>0.98599999999999988</v>
      </c>
      <c r="I18">
        <f>'Fire Pump'!I29</f>
        <v>0.60899999999999999</v>
      </c>
      <c r="J18" s="217">
        <f t="shared" si="0"/>
        <v>72.394999999999982</v>
      </c>
    </row>
    <row r="19" spans="2:16">
      <c r="B19" t="s">
        <v>338</v>
      </c>
      <c r="C19" s="21" t="s">
        <v>10</v>
      </c>
      <c r="D19">
        <f>D34*2000/8760</f>
        <v>14</v>
      </c>
      <c r="E19">
        <f t="shared" ref="E19:F19" si="1">E34*2000/8760</f>
        <v>14</v>
      </c>
      <c r="F19">
        <f t="shared" si="1"/>
        <v>14</v>
      </c>
      <c r="G19" s="21" t="s">
        <v>10</v>
      </c>
      <c r="H19" s="21" t="s">
        <v>10</v>
      </c>
      <c r="I19" s="21" t="s">
        <v>10</v>
      </c>
      <c r="J19" s="1">
        <f>SUM(C19:I19)</f>
        <v>42</v>
      </c>
    </row>
    <row r="20" spans="2:16">
      <c r="B20" t="s">
        <v>395</v>
      </c>
      <c r="C20" s="106">
        <f>C35*2000/438</f>
        <v>0.47578500000000007</v>
      </c>
      <c r="D20" s="195">
        <f>D35*2000/8760</f>
        <v>0.9301155400000003</v>
      </c>
      <c r="E20" s="195">
        <f t="shared" ref="E20:F20" si="2">E35*2000/8760</f>
        <v>0.9301155400000003</v>
      </c>
      <c r="F20" s="195">
        <f t="shared" si="2"/>
        <v>0.9301155400000003</v>
      </c>
      <c r="G20" s="103">
        <v>0</v>
      </c>
      <c r="H20" s="195">
        <f>H35*2000/500</f>
        <v>2.1942239999999998E-2</v>
      </c>
      <c r="I20" s="195">
        <f>I35*2000/500</f>
        <v>1.3552560000000002E-2</v>
      </c>
      <c r="J20" s="218">
        <f t="shared" ref="J20" si="3">SUM(C20:I20)</f>
        <v>3.3016264200000012</v>
      </c>
    </row>
    <row r="21" spans="2:16">
      <c r="B21" s="121"/>
      <c r="C21" s="214"/>
      <c r="D21" s="214"/>
      <c r="E21" s="214"/>
      <c r="F21" s="214"/>
      <c r="G21" s="215"/>
      <c r="H21" s="214"/>
      <c r="I21" s="214"/>
      <c r="J21" s="215"/>
    </row>
    <row r="24" spans="2:16">
      <c r="B24" s="233"/>
      <c r="C24" s="233" t="s">
        <v>397</v>
      </c>
      <c r="D24" s="233"/>
      <c r="E24" s="233"/>
      <c r="F24" s="233"/>
      <c r="G24" s="233"/>
      <c r="H24" s="233"/>
      <c r="I24" s="233"/>
      <c r="J24" s="233"/>
      <c r="O24" t="s">
        <v>678</v>
      </c>
    </row>
    <row r="25" spans="2:16">
      <c r="B25" s="233" t="s">
        <v>95</v>
      </c>
      <c r="C25" s="233" t="s">
        <v>97</v>
      </c>
      <c r="D25" s="233"/>
      <c r="E25" s="233"/>
      <c r="F25" s="233"/>
      <c r="G25" s="233"/>
      <c r="H25" s="233"/>
      <c r="I25" s="233"/>
      <c r="J25" s="233" t="s">
        <v>401</v>
      </c>
      <c r="O25" t="s">
        <v>671</v>
      </c>
    </row>
    <row r="26" spans="2:16">
      <c r="B26" s="233"/>
      <c r="C26" s="233" t="s">
        <v>4</v>
      </c>
      <c r="D26" s="233" t="s">
        <v>81</v>
      </c>
      <c r="E26" s="233" t="s">
        <v>85</v>
      </c>
      <c r="F26" s="233" t="s">
        <v>86</v>
      </c>
      <c r="G26" s="233" t="s">
        <v>398</v>
      </c>
      <c r="H26" s="233" t="s">
        <v>399</v>
      </c>
      <c r="I26" s="233" t="s">
        <v>400</v>
      </c>
      <c r="J26" s="233"/>
    </row>
    <row r="27" spans="2:16">
      <c r="B27" t="s">
        <v>131</v>
      </c>
      <c r="C27" s="216">
        <f>'Brunot Island CT PTE'!E41</f>
        <v>45.858599999999996</v>
      </c>
      <c r="D27" s="216">
        <f>'Brunot Island CT PTE'!E55</f>
        <v>51.683999999999997</v>
      </c>
      <c r="E27" s="216">
        <f>'Brunot Island CT PTE'!E69</f>
        <v>51.683999999999997</v>
      </c>
      <c r="F27" s="216">
        <f>'Brunot Island CT PTE'!E83</f>
        <v>51.683999999999997</v>
      </c>
      <c r="G27" s="2" t="s">
        <v>10</v>
      </c>
      <c r="H27" s="216">
        <f>Generator!Q30</f>
        <v>3.7484999999999999</v>
      </c>
      <c r="I27" s="216">
        <f>'Fire Pump'!Q29</f>
        <v>2.3152500000000003</v>
      </c>
      <c r="J27" s="219">
        <f>SUM(C27:I27)</f>
        <v>206.97434999999999</v>
      </c>
      <c r="O27">
        <v>336.7</v>
      </c>
      <c r="P27" t="s">
        <v>672</v>
      </c>
    </row>
    <row r="28" spans="2:16">
      <c r="B28" t="s">
        <v>135</v>
      </c>
      <c r="C28" s="216">
        <f>'Brunot Island CT PTE'!F41</f>
        <v>2.01918</v>
      </c>
      <c r="D28" s="216">
        <f>'Brunot Island CT PTE'!F55</f>
        <v>12</v>
      </c>
      <c r="E28" s="216">
        <f>'Brunot Island CT PTE'!F69</f>
        <v>12</v>
      </c>
      <c r="F28" s="216">
        <f>'Brunot Island CT PTE'!F83</f>
        <v>12</v>
      </c>
      <c r="G28" s="2" t="s">
        <v>10</v>
      </c>
      <c r="H28" s="216">
        <f>Generator!R30</f>
        <v>0.29749999999999999</v>
      </c>
      <c r="I28" s="216">
        <f>'Fire Pump'!R29</f>
        <v>0.18375</v>
      </c>
      <c r="J28" s="219">
        <f>SUM(C28:I28)</f>
        <v>38.500430000000001</v>
      </c>
      <c r="O28">
        <v>43.1</v>
      </c>
      <c r="P28" t="s">
        <v>673</v>
      </c>
    </row>
    <row r="29" spans="2:16">
      <c r="B29" t="s">
        <v>244</v>
      </c>
      <c r="C29" s="101">
        <f>'Brunot Island CT PTE'!L41</f>
        <v>9.1979999999999991E-4</v>
      </c>
      <c r="D29" s="2" t="s">
        <v>10</v>
      </c>
      <c r="E29" s="2" t="s">
        <v>10</v>
      </c>
      <c r="F29" s="2" t="s">
        <v>10</v>
      </c>
      <c r="G29" s="2" t="s">
        <v>10</v>
      </c>
      <c r="H29" s="2" t="s">
        <v>10</v>
      </c>
      <c r="I29" s="2" t="s">
        <v>10</v>
      </c>
      <c r="J29" s="220">
        <f t="shared" ref="J29:J34" si="4">SUM(C29:I29)</f>
        <v>9.1979999999999991E-4</v>
      </c>
    </row>
    <row r="30" spans="2:16">
      <c r="B30" t="s">
        <v>146</v>
      </c>
      <c r="C30" s="216">
        <f>'Brunot Island CT PTE'!G41</f>
        <v>7.7744999999999997</v>
      </c>
      <c r="D30" s="216">
        <f>'Brunot Island CT PTE'!G55</f>
        <v>175.2</v>
      </c>
      <c r="E30" s="216">
        <f>'Brunot Island CT PTE'!G69</f>
        <v>175.2</v>
      </c>
      <c r="F30" s="216">
        <f>'Brunot Island CT PTE'!G83</f>
        <v>175.2</v>
      </c>
      <c r="G30" s="2" t="s">
        <v>10</v>
      </c>
      <c r="H30" s="216">
        <f>Generator!S30</f>
        <v>0.8075</v>
      </c>
      <c r="I30" s="216">
        <f>'Fire Pump'!S29</f>
        <v>0.49874999999999992</v>
      </c>
      <c r="J30" s="219">
        <f>SUM(C30:I30)</f>
        <v>534.68074999999988</v>
      </c>
      <c r="O30">
        <v>582.4</v>
      </c>
    </row>
    <row r="31" spans="2:16">
      <c r="B31" t="s">
        <v>330</v>
      </c>
      <c r="C31" s="216">
        <f>'Brunot Island CT PTE'!C41</f>
        <v>0.32850000000000001</v>
      </c>
      <c r="D31" s="216">
        <f>'Brunot Island CT PTE'!C55</f>
        <v>29.346</v>
      </c>
      <c r="E31" s="216">
        <f>'Brunot Island CT PTE'!C69</f>
        <v>29.346</v>
      </c>
      <c r="F31" s="216">
        <f>'Brunot Island CT PTE'!C83</f>
        <v>29.346</v>
      </c>
      <c r="G31" s="216">
        <f>'Cooling Tower'!C28</f>
        <v>9.757679903999998</v>
      </c>
      <c r="H31" s="216">
        <f>Generator!O30</f>
        <v>0.23800000000000002</v>
      </c>
      <c r="I31" s="216">
        <f>'Fire Pump'!O29</f>
        <v>0.14700000000000002</v>
      </c>
      <c r="J31" s="219">
        <f t="shared" si="4"/>
        <v>98.509179904000007</v>
      </c>
      <c r="O31">
        <v>102.6</v>
      </c>
    </row>
    <row r="32" spans="2:16">
      <c r="B32" t="s">
        <v>377</v>
      </c>
      <c r="C32" s="216">
        <f>'Brunot Island CT PTE'!D41</f>
        <v>0.32850000000000001</v>
      </c>
      <c r="D32" s="216">
        <f>'Brunot Island CT PTE'!D55</f>
        <v>29.346</v>
      </c>
      <c r="E32" s="216">
        <f>'Brunot Island CT PTE'!D69</f>
        <v>29.346</v>
      </c>
      <c r="F32" s="216">
        <f>'Brunot Island CT PTE'!D83</f>
        <v>29.346</v>
      </c>
      <c r="G32" s="216">
        <f>'Cooling Tower'!C29</f>
        <v>9.757679903999998</v>
      </c>
      <c r="H32" s="216">
        <f>Generator!O30</f>
        <v>0.23800000000000002</v>
      </c>
      <c r="I32" s="216">
        <f>'Fire Pump'!O29</f>
        <v>0.14700000000000002</v>
      </c>
      <c r="J32" s="219">
        <f t="shared" si="4"/>
        <v>98.509179904000007</v>
      </c>
      <c r="O32">
        <v>102.6</v>
      </c>
    </row>
    <row r="33" spans="2:19">
      <c r="B33" t="s">
        <v>394</v>
      </c>
      <c r="C33" s="216">
        <f>'Brunot Island CT PTE'!H41</f>
        <v>13.797000000000001</v>
      </c>
      <c r="D33" s="216">
        <f>'Brunot Island CT PTE'!H55</f>
        <v>11.388</v>
      </c>
      <c r="E33" s="216">
        <f>'Brunot Island CT PTE'!H69</f>
        <v>11.388</v>
      </c>
      <c r="F33" s="216">
        <f>'Brunot Island CT PTE'!H83</f>
        <v>11.388</v>
      </c>
      <c r="G33" s="2" t="s">
        <v>10</v>
      </c>
      <c r="H33" s="216">
        <f>Generator!P30</f>
        <v>0.24649999999999997</v>
      </c>
      <c r="I33" s="216">
        <f>'Fire Pump'!P29</f>
        <v>0.15225</v>
      </c>
      <c r="J33" s="219">
        <f>SUM(C33:I33)</f>
        <v>48.359749999999998</v>
      </c>
      <c r="O33">
        <v>133.80000000000001</v>
      </c>
    </row>
    <row r="34" spans="2:19">
      <c r="B34" t="s">
        <v>338</v>
      </c>
      <c r="C34" s="216" t="s">
        <v>10</v>
      </c>
      <c r="D34" s="216">
        <f>'Brunot Island CT PTE'!J55</f>
        <v>61.32</v>
      </c>
      <c r="E34" s="216">
        <f>'Brunot Island CT PTE'!J69</f>
        <v>61.32</v>
      </c>
      <c r="F34" s="216">
        <f>'Brunot Island CT PTE'!J83</f>
        <v>61.32</v>
      </c>
      <c r="G34" s="2" t="s">
        <v>10</v>
      </c>
      <c r="H34" s="2" t="s">
        <v>10</v>
      </c>
      <c r="I34" s="2" t="s">
        <v>10</v>
      </c>
      <c r="J34" s="219">
        <f t="shared" si="4"/>
        <v>183.96</v>
      </c>
      <c r="O34">
        <v>183.9</v>
      </c>
    </row>
    <row r="35" spans="2:19">
      <c r="B35" t="s">
        <v>395</v>
      </c>
      <c r="C35" s="216">
        <f>'Brunot Island CT PTE'!H98</f>
        <v>0.10419691500000001</v>
      </c>
      <c r="D35" s="216">
        <f>'Brunot Island CT PTE'!H121</f>
        <v>4.073906065200001</v>
      </c>
      <c r="E35" s="216">
        <f>'Brunot Island CT PTE'!J121</f>
        <v>4.073906065200001</v>
      </c>
      <c r="F35" s="216">
        <f>'Brunot Island CT PTE'!L121</f>
        <v>4.073906065200001</v>
      </c>
      <c r="G35" s="216" t="s">
        <v>10</v>
      </c>
      <c r="H35" s="216">
        <f>Generator!T30</f>
        <v>5.4855599999999996E-3</v>
      </c>
      <c r="I35" s="216">
        <f>'Fire Pump'!T29</f>
        <v>3.3881400000000004E-3</v>
      </c>
      <c r="J35" s="219">
        <f>SUM(C35:I35)</f>
        <v>12.334788810600003</v>
      </c>
    </row>
    <row r="36" spans="2:19">
      <c r="B36" s="121"/>
      <c r="C36" s="122"/>
      <c r="D36" s="122"/>
      <c r="E36" s="122"/>
      <c r="F36" s="122"/>
      <c r="G36" s="122"/>
      <c r="H36" s="122"/>
      <c r="I36" s="122"/>
      <c r="J36" s="122"/>
    </row>
    <row r="37" spans="2:19">
      <c r="B37" s="121"/>
      <c r="C37" s="122"/>
      <c r="D37" s="122"/>
      <c r="E37" s="122"/>
      <c r="F37" s="122"/>
      <c r="G37" s="122"/>
      <c r="H37" s="122"/>
      <c r="I37" s="122"/>
      <c r="Q37" s="222" t="s">
        <v>679</v>
      </c>
      <c r="S37" s="221" t="s">
        <v>680</v>
      </c>
    </row>
    <row r="38" spans="2:19">
      <c r="Q38">
        <f>O27</f>
        <v>336.7</v>
      </c>
      <c r="S38">
        <f>(51.7*3)+175</f>
        <v>330.1</v>
      </c>
    </row>
    <row r="39" spans="2:19">
      <c r="Q39" s="172">
        <f>SUM(C27:F27)-H27-I27</f>
        <v>194.84684999999999</v>
      </c>
      <c r="S39" s="172">
        <f>SUM(C27:F27)</f>
        <v>200.91059999999999</v>
      </c>
    </row>
    <row r="40" spans="2:19">
      <c r="Q40" s="172">
        <f>Q38-Q39</f>
        <v>141.85315</v>
      </c>
      <c r="S40" s="172">
        <f>S38-S39</f>
        <v>129.18940000000003</v>
      </c>
    </row>
    <row r="43" spans="2:19">
      <c r="P43" s="222"/>
      <c r="R43" s="221"/>
    </row>
    <row r="45" spans="2:19">
      <c r="P45" s="172"/>
    </row>
    <row r="46" spans="2:19">
      <c r="P46" s="172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E931-5668-4363-9A2D-5023C6201C29}">
  <dimension ref="B2:AN89"/>
  <sheetViews>
    <sheetView topLeftCell="A22" workbookViewId="0">
      <selection activeCell="AK41" sqref="AK41"/>
    </sheetView>
  </sheetViews>
  <sheetFormatPr defaultRowHeight="14.4"/>
  <cols>
    <col min="4" max="4" width="50.33203125" customWidth="1"/>
    <col min="36" max="36" width="10" bestFit="1" customWidth="1"/>
  </cols>
  <sheetData>
    <row r="2" spans="3:22">
      <c r="C2" s="1" t="s">
        <v>387</v>
      </c>
    </row>
    <row r="3" spans="3:22">
      <c r="C3" s="1" t="s">
        <v>560</v>
      </c>
    </row>
    <row r="4" spans="3:22">
      <c r="E4" s="1" t="s">
        <v>583</v>
      </c>
    </row>
    <row r="5" spans="3:22">
      <c r="C5" t="s">
        <v>571</v>
      </c>
      <c r="E5" s="19" t="s">
        <v>562</v>
      </c>
      <c r="F5" s="19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79"/>
    </row>
    <row r="6" spans="3:22">
      <c r="C6" s="227">
        <v>0.69799999999999995</v>
      </c>
      <c r="D6" s="171" t="s">
        <v>107</v>
      </c>
      <c r="E6" s="178">
        <v>15</v>
      </c>
      <c r="F6" s="19" t="s">
        <v>563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79"/>
    </row>
    <row r="7" spans="3:22">
      <c r="E7" s="179">
        <v>9190</v>
      </c>
      <c r="F7" s="19" t="s">
        <v>564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79"/>
    </row>
    <row r="8" spans="3:22">
      <c r="E8" s="181">
        <v>1.1969999999999999E-7</v>
      </c>
      <c r="F8" s="182" t="s">
        <v>565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3:22">
      <c r="E9" s="180"/>
      <c r="F9" s="69"/>
    </row>
    <row r="10" spans="3:22">
      <c r="C10" t="s">
        <v>572</v>
      </c>
    </row>
    <row r="11" spans="3:22">
      <c r="C11" s="228">
        <f>(C6*(20.9-E6))/(20.9*E7*E8)</f>
        <v>179.12305446328634</v>
      </c>
      <c r="D11" t="s">
        <v>566</v>
      </c>
      <c r="E11" s="92" t="s">
        <v>590</v>
      </c>
    </row>
    <row r="12" spans="3:22">
      <c r="E12" t="s">
        <v>657</v>
      </c>
    </row>
    <row r="14" spans="3:22">
      <c r="C14" s="1" t="s">
        <v>567</v>
      </c>
    </row>
    <row r="15" spans="3:22">
      <c r="C15" s="1"/>
      <c r="D15" t="s">
        <v>568</v>
      </c>
    </row>
    <row r="17" spans="3:40">
      <c r="C17" t="s">
        <v>571</v>
      </c>
      <c r="E17" s="185" t="s">
        <v>562</v>
      </c>
      <c r="F17" s="45"/>
      <c r="G17" s="45"/>
      <c r="H17" s="45"/>
      <c r="I17" s="45"/>
      <c r="J17" s="45"/>
      <c r="K17" s="45"/>
      <c r="L17" s="45"/>
      <c r="M17" s="45"/>
      <c r="N17" s="79"/>
    </row>
    <row r="18" spans="3:40">
      <c r="C18" s="227">
        <v>3.0700000000000002E-2</v>
      </c>
      <c r="D18" s="171" t="s">
        <v>569</v>
      </c>
      <c r="E18" s="186">
        <f>1.1419*10^-7</f>
        <v>1.1418999999999999E-7</v>
      </c>
      <c r="F18" s="187" t="s">
        <v>570</v>
      </c>
      <c r="G18" s="45"/>
      <c r="H18" s="45"/>
      <c r="I18" s="45"/>
      <c r="J18" s="45"/>
      <c r="K18" s="45"/>
      <c r="L18" s="45"/>
      <c r="M18" s="45"/>
      <c r="N18" s="79"/>
    </row>
    <row r="19" spans="3:40">
      <c r="E19" s="183"/>
      <c r="F19" s="184"/>
    </row>
    <row r="20" spans="3:40">
      <c r="C20" t="s">
        <v>572</v>
      </c>
    </row>
    <row r="21" spans="3:40">
      <c r="C21" s="229">
        <f>(C18*(20.9-E6))/(20.9*E7*E18)</f>
        <v>8.258487516923612</v>
      </c>
      <c r="D21" t="s">
        <v>566</v>
      </c>
      <c r="E21" t="s">
        <v>591</v>
      </c>
    </row>
    <row r="26" spans="3:40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3:40">
      <c r="D27" s="1" t="s">
        <v>586</v>
      </c>
      <c r="Q27" s="226" t="s">
        <v>589</v>
      </c>
      <c r="R27" s="177"/>
      <c r="S27" s="177"/>
      <c r="T27" s="177"/>
      <c r="AC27" s="1"/>
    </row>
    <row r="28" spans="3:40">
      <c r="D28" t="s">
        <v>582</v>
      </c>
      <c r="Q28" t="s">
        <v>582</v>
      </c>
    </row>
    <row r="30" spans="3:40">
      <c r="C30" s="188">
        <v>300</v>
      </c>
      <c r="D30" t="s">
        <v>573</v>
      </c>
      <c r="P30" s="188">
        <v>300</v>
      </c>
      <c r="Q30" t="s">
        <v>573</v>
      </c>
    </row>
    <row r="31" spans="3:40">
      <c r="C31" s="188">
        <f>8760*0.36</f>
        <v>3153.6</v>
      </c>
      <c r="D31" t="s">
        <v>28</v>
      </c>
      <c r="P31" s="210">
        <f>8760*0.05</f>
        <v>438</v>
      </c>
      <c r="Q31" s="9" t="s">
        <v>28</v>
      </c>
    </row>
    <row r="33" spans="2:37">
      <c r="C33" t="s">
        <v>574</v>
      </c>
      <c r="P33" t="s">
        <v>574</v>
      </c>
    </row>
    <row r="34" spans="2:37">
      <c r="C34" s="189">
        <v>96</v>
      </c>
      <c r="D34" s="171" t="s">
        <v>575</v>
      </c>
      <c r="P34" s="189">
        <v>179</v>
      </c>
      <c r="Q34" s="171" t="s">
        <v>575</v>
      </c>
      <c r="U34" s="92" t="s">
        <v>590</v>
      </c>
      <c r="AC34" t="s">
        <v>676</v>
      </c>
    </row>
    <row r="35" spans="2:37">
      <c r="C35" s="190">
        <v>15</v>
      </c>
      <c r="D35" t="s">
        <v>576</v>
      </c>
      <c r="P35" s="190">
        <v>15</v>
      </c>
      <c r="Q35" t="s">
        <v>576</v>
      </c>
      <c r="U35" t="s">
        <v>657</v>
      </c>
      <c r="AC35" t="s">
        <v>667</v>
      </c>
    </row>
    <row r="36" spans="2:37">
      <c r="C36">
        <v>9190</v>
      </c>
      <c r="D36" t="s">
        <v>577</v>
      </c>
      <c r="E36" t="s">
        <v>584</v>
      </c>
      <c r="P36">
        <v>9190</v>
      </c>
      <c r="Q36" t="s">
        <v>577</v>
      </c>
      <c r="AK36" s="212" t="s">
        <v>668</v>
      </c>
    </row>
    <row r="37" spans="2:37">
      <c r="C37" s="104">
        <v>1.1969999999999999E-7</v>
      </c>
      <c r="D37" t="s">
        <v>578</v>
      </c>
      <c r="E37" t="s">
        <v>587</v>
      </c>
      <c r="P37" s="104">
        <v>1.1969999999999999E-7</v>
      </c>
      <c r="Q37" t="s">
        <v>578</v>
      </c>
      <c r="AC37">
        <v>22</v>
      </c>
      <c r="AD37" t="s">
        <v>658</v>
      </c>
      <c r="AI37" t="s">
        <v>669</v>
      </c>
    </row>
    <row r="38" spans="2:37">
      <c r="E38" t="s">
        <v>588</v>
      </c>
      <c r="AC38" s="170">
        <f>8760*0.05</f>
        <v>438</v>
      </c>
      <c r="AD38" t="s">
        <v>665</v>
      </c>
    </row>
    <row r="39" spans="2:37">
      <c r="C39" s="197">
        <f>(C34*20.9*C36*C37)/(20.9-C35)</f>
        <v>0.37408919918644074</v>
      </c>
      <c r="D39" t="s">
        <v>107</v>
      </c>
      <c r="P39" s="191">
        <f>(P34*20.9*P36*P37)/(20.9-P35)</f>
        <v>0.69752048598305094</v>
      </c>
      <c r="Q39" t="s">
        <v>107</v>
      </c>
      <c r="AJ39">
        <f>(AC37*AC38*100)/(22*8760)</f>
        <v>5</v>
      </c>
      <c r="AK39" t="s">
        <v>22</v>
      </c>
    </row>
    <row r="40" spans="2:37">
      <c r="AC40" t="s">
        <v>666</v>
      </c>
    </row>
    <row r="41" spans="2:37">
      <c r="B41" s="69"/>
      <c r="C41" s="103">
        <f>C39*C30</f>
        <v>112.22675975593222</v>
      </c>
      <c r="D41" t="s">
        <v>579</v>
      </c>
      <c r="P41" s="198">
        <f>P39*P30</f>
        <v>209.25614579491528</v>
      </c>
      <c r="Q41" s="209" t="s">
        <v>579</v>
      </c>
      <c r="AC41" t="s">
        <v>659</v>
      </c>
    </row>
    <row r="42" spans="2:37">
      <c r="C42" s="172">
        <f>C39*$C$30*8760/2000</f>
        <v>491.55320773098316</v>
      </c>
      <c r="D42" t="s">
        <v>580</v>
      </c>
      <c r="P42" s="172">
        <f>P39*$P$30*8760/2000</f>
        <v>916.54191858172896</v>
      </c>
      <c r="Q42" t="s">
        <v>580</v>
      </c>
      <c r="AC42" s="211" t="s">
        <v>662</v>
      </c>
    </row>
    <row r="43" spans="2:37">
      <c r="C43" s="198">
        <f>C42*0.36</f>
        <v>176.95915478315393</v>
      </c>
      <c r="D43" t="s">
        <v>619</v>
      </c>
      <c r="P43" s="198">
        <f>P42*0.05</f>
        <v>45.827095929086454</v>
      </c>
      <c r="Q43" t="s">
        <v>649</v>
      </c>
      <c r="AC43" t="s">
        <v>663</v>
      </c>
    </row>
    <row r="44" spans="2:37">
      <c r="B44" s="69"/>
      <c r="AC44" s="211" t="s">
        <v>660</v>
      </c>
    </row>
    <row r="45" spans="2:37">
      <c r="AC45" t="s">
        <v>661</v>
      </c>
    </row>
    <row r="46" spans="2:37">
      <c r="C46" s="192"/>
      <c r="D46" s="192"/>
      <c r="E46" s="192"/>
      <c r="F46" s="192"/>
      <c r="G46" s="192"/>
      <c r="H46" s="192"/>
      <c r="I46" s="193"/>
      <c r="J46" s="193"/>
      <c r="K46" s="193"/>
      <c r="L46" s="193"/>
      <c r="M46" s="193"/>
      <c r="N46" s="193"/>
      <c r="P46" s="192"/>
      <c r="Q46" s="192"/>
      <c r="R46" s="193"/>
      <c r="S46" s="193"/>
      <c r="T46" s="193"/>
      <c r="AC46" t="s">
        <v>664</v>
      </c>
    </row>
    <row r="48" spans="2:37">
      <c r="C48" t="s">
        <v>581</v>
      </c>
      <c r="P48" t="s">
        <v>581</v>
      </c>
    </row>
    <row r="49" spans="2:21">
      <c r="C49" s="189">
        <v>9</v>
      </c>
      <c r="D49" s="171" t="s">
        <v>575</v>
      </c>
      <c r="P49" s="189">
        <v>8.3000000000000007</v>
      </c>
      <c r="Q49" s="171" t="s">
        <v>575</v>
      </c>
      <c r="U49" t="s">
        <v>591</v>
      </c>
    </row>
    <row r="50" spans="2:21">
      <c r="C50" s="190">
        <v>15</v>
      </c>
      <c r="D50" t="s">
        <v>576</v>
      </c>
      <c r="P50" s="190">
        <v>15</v>
      </c>
      <c r="Q50" t="s">
        <v>576</v>
      </c>
    </row>
    <row r="51" spans="2:21">
      <c r="C51">
        <v>9190</v>
      </c>
      <c r="D51" t="s">
        <v>577</v>
      </c>
      <c r="P51">
        <v>9190</v>
      </c>
      <c r="Q51" t="s">
        <v>577</v>
      </c>
    </row>
    <row r="52" spans="2:21">
      <c r="C52" s="104">
        <f>1.1419*10^-7</f>
        <v>1.1418999999999999E-7</v>
      </c>
      <c r="D52" t="s">
        <v>578</v>
      </c>
      <c r="E52" t="s">
        <v>585</v>
      </c>
      <c r="P52" s="104">
        <f>1.1419*10^-7</f>
        <v>1.1418999999999999E-7</v>
      </c>
      <c r="Q52" t="s">
        <v>578</v>
      </c>
    </row>
    <row r="54" spans="2:21">
      <c r="C54" s="197">
        <f>(C49*20.9*C51*C52)/(20.9-C50)</f>
        <v>3.3456489391525429E-2</v>
      </c>
      <c r="D54" t="s">
        <v>107</v>
      </c>
      <c r="P54" s="191">
        <f>(P49*20.9*P51*P52)/(20.9-P50)</f>
        <v>3.0854317994406789E-2</v>
      </c>
      <c r="Q54" t="s">
        <v>107</v>
      </c>
    </row>
    <row r="56" spans="2:21">
      <c r="B56" s="69"/>
      <c r="C56" s="103">
        <f>C54*C30</f>
        <v>10.036946817457629</v>
      </c>
      <c r="D56" t="s">
        <v>579</v>
      </c>
      <c r="P56" s="103">
        <f>P54*P30</f>
        <v>9.2562953983220364</v>
      </c>
      <c r="Q56" t="s">
        <v>579</v>
      </c>
    </row>
    <row r="57" spans="2:21">
      <c r="C57" s="172">
        <f>C54*$C$30*8760/2000</f>
        <v>43.961827060464415</v>
      </c>
      <c r="D57" t="s">
        <v>580</v>
      </c>
      <c r="P57" s="172">
        <f>P54*$P$30*8760/2000</f>
        <v>40.542573844650519</v>
      </c>
      <c r="Q57" t="s">
        <v>580</v>
      </c>
    </row>
    <row r="58" spans="2:21">
      <c r="C58" s="198">
        <f>C57*0.36</f>
        <v>15.826257741767188</v>
      </c>
      <c r="D58" t="s">
        <v>619</v>
      </c>
      <c r="P58" s="199">
        <f>P57*0.05</f>
        <v>2.0271286922325262</v>
      </c>
      <c r="Q58" t="s">
        <v>649</v>
      </c>
    </row>
    <row r="59" spans="2:21">
      <c r="B59" s="69"/>
    </row>
    <row r="64" spans="2:21">
      <c r="E64" s="1" t="s">
        <v>640</v>
      </c>
    </row>
    <row r="65" spans="5:16">
      <c r="E65" s="173" t="s">
        <v>387</v>
      </c>
    </row>
    <row r="66" spans="5:16">
      <c r="E66">
        <v>300</v>
      </c>
      <c r="F66" t="s">
        <v>620</v>
      </c>
      <c r="G66" s="105" t="s">
        <v>621</v>
      </c>
      <c r="H66" s="105" t="s">
        <v>622</v>
      </c>
      <c r="I66" s="105" t="s">
        <v>623</v>
      </c>
      <c r="J66" s="105" t="s">
        <v>624</v>
      </c>
      <c r="L66" s="105" t="s">
        <v>625</v>
      </c>
      <c r="O66" s="105" t="s">
        <v>650</v>
      </c>
      <c r="P66" s="105" t="s">
        <v>651</v>
      </c>
    </row>
    <row r="67" spans="5:16">
      <c r="E67" s="200">
        <v>0.36</v>
      </c>
      <c r="F67" t="s">
        <v>626</v>
      </c>
      <c r="L67" t="s">
        <v>627</v>
      </c>
      <c r="M67" t="s">
        <v>628</v>
      </c>
    </row>
    <row r="68" spans="5:16">
      <c r="E68" t="s">
        <v>131</v>
      </c>
      <c r="F68" t="s">
        <v>107</v>
      </c>
      <c r="G68">
        <v>0.69799999999999995</v>
      </c>
      <c r="H68">
        <v>0.69799999999999995</v>
      </c>
      <c r="I68">
        <v>0.69799999999999995</v>
      </c>
      <c r="J68">
        <v>0.37</v>
      </c>
      <c r="L68">
        <v>0.37</v>
      </c>
      <c r="M68">
        <v>0.69799999999999995</v>
      </c>
      <c r="O68">
        <v>0.69799999999999995</v>
      </c>
      <c r="P68">
        <v>0.69799999999999995</v>
      </c>
    </row>
    <row r="69" spans="5:16">
      <c r="F69" t="s">
        <v>579</v>
      </c>
      <c r="G69">
        <v>209.4</v>
      </c>
      <c r="H69">
        <v>209.4</v>
      </c>
      <c r="I69">
        <v>209.4</v>
      </c>
      <c r="J69">
        <v>110</v>
      </c>
      <c r="L69">
        <v>110</v>
      </c>
      <c r="M69">
        <v>209.4</v>
      </c>
      <c r="O69">
        <v>209.4</v>
      </c>
      <c r="P69">
        <v>209.4</v>
      </c>
    </row>
    <row r="70" spans="5:16">
      <c r="F70" t="s">
        <v>455</v>
      </c>
      <c r="G70">
        <v>275.2</v>
      </c>
      <c r="H70">
        <v>330.2</v>
      </c>
      <c r="I70">
        <v>330.2</v>
      </c>
      <c r="J70">
        <v>175</v>
      </c>
      <c r="L70">
        <v>175</v>
      </c>
      <c r="M70">
        <v>45.9</v>
      </c>
      <c r="O70">
        <v>45.9</v>
      </c>
      <c r="P70">
        <v>45.9</v>
      </c>
    </row>
    <row r="71" spans="5:16">
      <c r="E71" t="s">
        <v>135</v>
      </c>
      <c r="F71" t="s">
        <v>579</v>
      </c>
      <c r="G71">
        <v>9.2200000000000006</v>
      </c>
      <c r="H71">
        <v>9.2200000000000006</v>
      </c>
      <c r="I71">
        <v>9.2200000000000006</v>
      </c>
      <c r="J71">
        <v>4.0999999999999996</v>
      </c>
      <c r="L71">
        <v>4.0999999999999996</v>
      </c>
      <c r="M71">
        <v>9.2200000000000006</v>
      </c>
      <c r="O71">
        <v>9.2200000000000006</v>
      </c>
      <c r="P71">
        <v>9.2200000000000006</v>
      </c>
    </row>
    <row r="72" spans="5:16">
      <c r="F72" t="s">
        <v>455</v>
      </c>
      <c r="G72">
        <v>14.54</v>
      </c>
      <c r="H72">
        <v>14.54</v>
      </c>
      <c r="I72">
        <v>14.54</v>
      </c>
      <c r="J72">
        <v>6.54</v>
      </c>
      <c r="L72">
        <v>6.54</v>
      </c>
      <c r="M72">
        <v>2</v>
      </c>
      <c r="O72">
        <v>2</v>
      </c>
      <c r="P72">
        <v>2</v>
      </c>
    </row>
    <row r="74" spans="5:16">
      <c r="E74" s="173" t="s">
        <v>629</v>
      </c>
    </row>
    <row r="75" spans="5:16">
      <c r="E75">
        <v>678</v>
      </c>
      <c r="F75" t="s">
        <v>620</v>
      </c>
      <c r="G75" s="105" t="s">
        <v>621</v>
      </c>
      <c r="H75" s="105" t="s">
        <v>622</v>
      </c>
      <c r="I75" s="105" t="s">
        <v>623</v>
      </c>
      <c r="J75" s="105" t="s">
        <v>624</v>
      </c>
      <c r="L75" s="105"/>
      <c r="O75" s="105" t="s">
        <v>650</v>
      </c>
      <c r="P75" s="105" t="s">
        <v>651</v>
      </c>
    </row>
    <row r="76" spans="5:16">
      <c r="E76" s="21" t="s">
        <v>630</v>
      </c>
      <c r="F76" t="s">
        <v>620</v>
      </c>
      <c r="H76" s="201"/>
    </row>
    <row r="77" spans="5:16">
      <c r="E77" s="202" t="s">
        <v>631</v>
      </c>
      <c r="F77" t="s">
        <v>632</v>
      </c>
      <c r="H77" s="201"/>
    </row>
    <row r="78" spans="5:16">
      <c r="E78" t="s">
        <v>131</v>
      </c>
      <c r="F78" t="s">
        <v>633</v>
      </c>
      <c r="G78">
        <v>11.8</v>
      </c>
      <c r="H78">
        <v>11.8</v>
      </c>
      <c r="I78">
        <v>11.8</v>
      </c>
      <c r="J78">
        <v>11.8</v>
      </c>
      <c r="O78">
        <v>11.8</v>
      </c>
      <c r="P78">
        <v>11.8</v>
      </c>
    </row>
    <row r="79" spans="5:16">
      <c r="F79" t="s">
        <v>634</v>
      </c>
      <c r="G79">
        <v>51.7</v>
      </c>
      <c r="H79">
        <v>51.7</v>
      </c>
      <c r="I79">
        <v>51.7</v>
      </c>
      <c r="J79">
        <v>51.7</v>
      </c>
      <c r="O79">
        <v>51.7</v>
      </c>
      <c r="P79">
        <v>51.7</v>
      </c>
    </row>
    <row r="80" spans="5:16">
      <c r="E80" t="s">
        <v>135</v>
      </c>
      <c r="F80" t="s">
        <v>633</v>
      </c>
      <c r="G80">
        <v>3</v>
      </c>
      <c r="H80">
        <v>3</v>
      </c>
      <c r="I80">
        <v>3</v>
      </c>
      <c r="J80">
        <v>3</v>
      </c>
      <c r="O80">
        <v>3</v>
      </c>
      <c r="P80">
        <v>3</v>
      </c>
    </row>
    <row r="81" spans="5:16">
      <c r="F81" t="s">
        <v>634</v>
      </c>
      <c r="G81">
        <v>12</v>
      </c>
      <c r="H81">
        <v>12</v>
      </c>
      <c r="I81">
        <v>12</v>
      </c>
      <c r="J81">
        <v>12</v>
      </c>
      <c r="O81">
        <v>12</v>
      </c>
      <c r="P81">
        <v>12</v>
      </c>
    </row>
    <row r="83" spans="5:16">
      <c r="E83" s="173" t="s">
        <v>629</v>
      </c>
      <c r="G83" s="105" t="s">
        <v>635</v>
      </c>
      <c r="H83" s="203" t="s">
        <v>636</v>
      </c>
      <c r="I83" s="105" t="s">
        <v>637</v>
      </c>
      <c r="J83" s="105" t="s">
        <v>638</v>
      </c>
      <c r="K83" s="105" t="s">
        <v>639</v>
      </c>
      <c r="L83" s="105" t="s">
        <v>625</v>
      </c>
      <c r="O83" s="105"/>
      <c r="P83" s="105"/>
    </row>
    <row r="84" spans="5:16">
      <c r="E84" s="21" t="s">
        <v>630</v>
      </c>
      <c r="F84" t="s">
        <v>620</v>
      </c>
      <c r="H84" s="201"/>
    </row>
    <row r="85" spans="5:16">
      <c r="E85" s="202" t="s">
        <v>631</v>
      </c>
      <c r="F85" t="s">
        <v>632</v>
      </c>
      <c r="H85" s="200">
        <v>1</v>
      </c>
      <c r="I85" s="200">
        <v>1</v>
      </c>
      <c r="J85" s="200">
        <v>1</v>
      </c>
      <c r="K85" s="204" t="s">
        <v>383</v>
      </c>
    </row>
    <row r="86" spans="5:16">
      <c r="E86" t="s">
        <v>131</v>
      </c>
      <c r="F86" t="s">
        <v>633</v>
      </c>
      <c r="G86">
        <v>11.8</v>
      </c>
      <c r="H86">
        <v>11.8</v>
      </c>
      <c r="I86">
        <v>11.8</v>
      </c>
      <c r="J86">
        <v>11.8</v>
      </c>
      <c r="K86" s="204" t="s">
        <v>383</v>
      </c>
      <c r="L86">
        <v>11.8</v>
      </c>
    </row>
    <row r="87" spans="5:16">
      <c r="F87" t="s">
        <v>634</v>
      </c>
      <c r="G87">
        <v>51.7</v>
      </c>
      <c r="H87">
        <v>51.7</v>
      </c>
      <c r="I87">
        <v>51.7</v>
      </c>
      <c r="J87">
        <v>51.7</v>
      </c>
      <c r="K87" s="204" t="s">
        <v>383</v>
      </c>
      <c r="L87">
        <v>51.7</v>
      </c>
    </row>
    <row r="88" spans="5:16">
      <c r="E88" t="s">
        <v>135</v>
      </c>
      <c r="F88" t="s">
        <v>633</v>
      </c>
      <c r="G88">
        <v>3</v>
      </c>
      <c r="H88">
        <v>3</v>
      </c>
      <c r="I88">
        <v>3</v>
      </c>
      <c r="J88">
        <v>3</v>
      </c>
      <c r="K88" s="204" t="s">
        <v>383</v>
      </c>
      <c r="L88">
        <v>3</v>
      </c>
    </row>
    <row r="89" spans="5:16">
      <c r="F89" t="s">
        <v>634</v>
      </c>
      <c r="G89">
        <v>12</v>
      </c>
      <c r="H89">
        <v>12</v>
      </c>
      <c r="I89">
        <v>12</v>
      </c>
      <c r="J89">
        <v>12</v>
      </c>
      <c r="K89" s="204" t="s">
        <v>383</v>
      </c>
      <c r="L89">
        <v>12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AD38-6239-4C0C-8958-0CEDEAED5370}">
  <dimension ref="B2:AJ90"/>
  <sheetViews>
    <sheetView topLeftCell="A25" zoomScaleNormal="100" workbookViewId="0">
      <selection activeCell="J24" sqref="J24"/>
    </sheetView>
  </sheetViews>
  <sheetFormatPr defaultRowHeight="14.4"/>
  <cols>
    <col min="4" max="4" width="55.109375" customWidth="1"/>
  </cols>
  <sheetData>
    <row r="2" spans="3:22">
      <c r="C2" s="1" t="s">
        <v>500</v>
      </c>
    </row>
    <row r="3" spans="3:22">
      <c r="C3" s="1" t="s">
        <v>592</v>
      </c>
    </row>
    <row r="4" spans="3:22">
      <c r="E4" s="1" t="s">
        <v>583</v>
      </c>
    </row>
    <row r="5" spans="3:22">
      <c r="C5" t="s">
        <v>561</v>
      </c>
      <c r="E5" s="19" t="s">
        <v>562</v>
      </c>
      <c r="F5" s="19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79"/>
    </row>
    <row r="6" spans="3:22">
      <c r="C6" s="227">
        <v>1.29E-2</v>
      </c>
      <c r="D6" s="171" t="s">
        <v>107</v>
      </c>
      <c r="E6" s="178">
        <v>15</v>
      </c>
      <c r="F6" s="19" t="s">
        <v>563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79"/>
    </row>
    <row r="7" spans="3:22">
      <c r="E7" s="179">
        <v>9190</v>
      </c>
      <c r="F7" s="19" t="s">
        <v>564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79"/>
    </row>
    <row r="8" spans="3:22">
      <c r="E8" s="181">
        <v>1.1969999999999999E-7</v>
      </c>
      <c r="F8" s="182" t="s">
        <v>565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3:22">
      <c r="E9" s="180"/>
    </row>
    <row r="11" spans="3:22">
      <c r="C11" s="229">
        <f>(C6*(20.9-E6))/(20.9*E7*E8)</f>
        <v>3.3104404048372404</v>
      </c>
      <c r="D11" t="s">
        <v>593</v>
      </c>
    </row>
    <row r="12" spans="3:22">
      <c r="C12" t="s">
        <v>594</v>
      </c>
    </row>
    <row r="14" spans="3:22">
      <c r="C14" s="1" t="s">
        <v>595</v>
      </c>
    </row>
    <row r="15" spans="3:22">
      <c r="C15" s="1"/>
      <c r="D15" t="s">
        <v>568</v>
      </c>
    </row>
    <row r="17" spans="3:36">
      <c r="C17" t="s">
        <v>561</v>
      </c>
      <c r="E17" s="185" t="s">
        <v>562</v>
      </c>
      <c r="F17" s="45"/>
      <c r="G17" s="45"/>
      <c r="H17" s="45"/>
      <c r="I17" s="45"/>
      <c r="J17" s="45"/>
      <c r="K17" s="45"/>
      <c r="L17" s="45"/>
      <c r="M17" s="45"/>
      <c r="N17" s="79"/>
    </row>
    <row r="18" spans="3:36">
      <c r="C18" s="230">
        <f>3/(678+240)</f>
        <v>3.2679738562091504E-3</v>
      </c>
      <c r="D18" s="171" t="s">
        <v>569</v>
      </c>
      <c r="E18" s="186">
        <f>1.1419*10^-7</f>
        <v>1.1418999999999999E-7</v>
      </c>
      <c r="F18" s="187" t="s">
        <v>570</v>
      </c>
      <c r="G18" s="45"/>
      <c r="H18" s="45"/>
      <c r="I18" s="45"/>
      <c r="J18" s="45"/>
      <c r="K18" s="45"/>
      <c r="L18" s="45"/>
      <c r="M18" s="45"/>
      <c r="N18" s="79"/>
    </row>
    <row r="19" spans="3:36">
      <c r="E19" s="180"/>
    </row>
    <row r="21" spans="3:36">
      <c r="C21" s="229">
        <f>(C18*(20.9-E6))/(20.9*E7*E18)</f>
        <v>0.87910492824547193</v>
      </c>
      <c r="D21" t="s">
        <v>566</v>
      </c>
    </row>
    <row r="26" spans="3:36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3:36">
      <c r="D27" s="1" t="s">
        <v>611</v>
      </c>
      <c r="H27" s="1" t="s">
        <v>612</v>
      </c>
      <c r="Q27" s="1" t="s">
        <v>642</v>
      </c>
      <c r="X27" s="226" t="s">
        <v>613</v>
      </c>
      <c r="Y27" s="177"/>
      <c r="Z27" s="177"/>
      <c r="AA27" s="177"/>
      <c r="AB27" s="177"/>
      <c r="AC27" s="177"/>
      <c r="AD27" s="177"/>
    </row>
    <row r="28" spans="3:36">
      <c r="D28" t="s">
        <v>609</v>
      </c>
      <c r="E28" s="21" t="s">
        <v>597</v>
      </c>
      <c r="F28">
        <v>1038</v>
      </c>
      <c r="G28" t="s">
        <v>598</v>
      </c>
      <c r="Q28" t="s">
        <v>609</v>
      </c>
      <c r="U28" s="21" t="s">
        <v>597</v>
      </c>
      <c r="V28">
        <v>1038</v>
      </c>
      <c r="W28" t="s">
        <v>598</v>
      </c>
    </row>
    <row r="29" spans="3:36">
      <c r="F29">
        <v>7747</v>
      </c>
      <c r="G29" t="s">
        <v>599</v>
      </c>
      <c r="V29">
        <v>7747</v>
      </c>
      <c r="W29" t="s">
        <v>599</v>
      </c>
    </row>
    <row r="30" spans="3:36">
      <c r="C30" s="188">
        <v>918</v>
      </c>
      <c r="D30" t="s">
        <v>596</v>
      </c>
      <c r="H30" s="188">
        <v>918</v>
      </c>
      <c r="I30" t="s">
        <v>596</v>
      </c>
      <c r="P30" s="188">
        <v>918</v>
      </c>
      <c r="Q30" t="s">
        <v>596</v>
      </c>
    </row>
    <row r="31" spans="3:36">
      <c r="C31" s="188">
        <v>8760</v>
      </c>
      <c r="D31" t="s">
        <v>28</v>
      </c>
      <c r="H31" s="188">
        <v>8760</v>
      </c>
      <c r="I31" t="s">
        <v>28</v>
      </c>
      <c r="P31" s="188">
        <v>8760</v>
      </c>
      <c r="Q31" t="s">
        <v>28</v>
      </c>
    </row>
    <row r="33" spans="2:32">
      <c r="C33" t="s">
        <v>600</v>
      </c>
      <c r="H33" t="s">
        <v>592</v>
      </c>
      <c r="P33" t="s">
        <v>600</v>
      </c>
      <c r="X33" t="s">
        <v>592</v>
      </c>
    </row>
    <row r="34" spans="2:32">
      <c r="C34" s="189">
        <v>42</v>
      </c>
      <c r="D34" s="171" t="s">
        <v>575</v>
      </c>
      <c r="H34" s="194">
        <f>0.013</f>
        <v>1.2999999999999999E-2</v>
      </c>
      <c r="I34" s="171" t="s">
        <v>107</v>
      </c>
      <c r="L34" s="194">
        <v>0.16</v>
      </c>
      <c r="M34" s="171" t="s">
        <v>107</v>
      </c>
      <c r="P34" s="189">
        <v>42</v>
      </c>
      <c r="Q34" s="171" t="s">
        <v>575</v>
      </c>
      <c r="X34" s="194">
        <v>1.29E-2</v>
      </c>
      <c r="Y34" s="171" t="s">
        <v>107</v>
      </c>
      <c r="AB34" s="194">
        <v>0.16</v>
      </c>
      <c r="AC34" s="171" t="s">
        <v>107</v>
      </c>
    </row>
    <row r="35" spans="2:32">
      <c r="C35">
        <v>15</v>
      </c>
      <c r="D35" t="s">
        <v>576</v>
      </c>
      <c r="H35" s="103">
        <v>15</v>
      </c>
      <c r="I35" t="s">
        <v>576</v>
      </c>
      <c r="L35" s="103">
        <v>15</v>
      </c>
      <c r="M35" t="s">
        <v>576</v>
      </c>
      <c r="P35">
        <v>15</v>
      </c>
      <c r="Q35" t="s">
        <v>576</v>
      </c>
      <c r="X35" s="103">
        <v>15</v>
      </c>
      <c r="Y35" t="s">
        <v>576</v>
      </c>
      <c r="AB35" s="103">
        <v>15</v>
      </c>
      <c r="AC35" t="s">
        <v>576</v>
      </c>
    </row>
    <row r="36" spans="2:32">
      <c r="C36">
        <v>8710</v>
      </c>
      <c r="D36" t="s">
        <v>577</v>
      </c>
      <c r="H36">
        <v>8710</v>
      </c>
      <c r="I36" t="s">
        <v>601</v>
      </c>
      <c r="L36">
        <v>8710</v>
      </c>
      <c r="M36" t="s">
        <v>601</v>
      </c>
      <c r="P36">
        <v>8710</v>
      </c>
      <c r="Q36" t="s">
        <v>577</v>
      </c>
      <c r="X36">
        <v>8710</v>
      </c>
      <c r="Y36" t="s">
        <v>601</v>
      </c>
      <c r="AB36">
        <v>8710</v>
      </c>
      <c r="AC36" t="s">
        <v>601</v>
      </c>
    </row>
    <row r="37" spans="2:32">
      <c r="C37" s="104">
        <v>1.1969999999999999E-7</v>
      </c>
      <c r="D37" t="s">
        <v>578</v>
      </c>
      <c r="H37" s="104">
        <v>1.1969999999999999E-7</v>
      </c>
      <c r="I37" t="s">
        <v>578</v>
      </c>
      <c r="L37" s="104">
        <v>1.1969999999999999E-7</v>
      </c>
      <c r="M37" t="s">
        <v>578</v>
      </c>
      <c r="P37" s="104">
        <v>1.1969999999999999E-7</v>
      </c>
      <c r="Q37" t="s">
        <v>578</v>
      </c>
      <c r="X37" s="104">
        <v>1.1969999999999999E-7</v>
      </c>
      <c r="Y37" t="s">
        <v>578</v>
      </c>
      <c r="AB37" s="104">
        <v>1.1969999999999999E-7</v>
      </c>
      <c r="AC37" t="s">
        <v>578</v>
      </c>
    </row>
    <row r="38" spans="2:32">
      <c r="B38" s="1" t="s">
        <v>647</v>
      </c>
    </row>
    <row r="39" spans="2:32">
      <c r="B39" s="208">
        <v>1.29E-2</v>
      </c>
      <c r="C39" s="205">
        <f>(C34*20.9*C36*C37)/(20.9-C35)</f>
        <v>0.155115740440678</v>
      </c>
      <c r="D39" t="s">
        <v>107</v>
      </c>
      <c r="H39" s="206">
        <f>(H34*(20.9-H35))/(20.9*H36*H37)</f>
        <v>3.5199522527425935</v>
      </c>
      <c r="I39" t="s">
        <v>602</v>
      </c>
      <c r="L39" s="206">
        <f>(L34*(20.9-L35))/(20.9*L36*L37)</f>
        <v>43.322489264524236</v>
      </c>
      <c r="M39" t="s">
        <v>602</v>
      </c>
      <c r="P39" s="104">
        <f>(P34*20.9*P36*P37)/(20.9-P35)</f>
        <v>0.155115740440678</v>
      </c>
      <c r="Q39" t="s">
        <v>107</v>
      </c>
      <c r="X39" s="206">
        <f>(X34*(20.9-X35))/(20.9*X36*X37)</f>
        <v>3.4928756969522663</v>
      </c>
      <c r="Y39" t="s">
        <v>602</v>
      </c>
      <c r="AB39" s="206">
        <f>(AB34*(20.9-AB35))/(20.9*AB36*AB37)</f>
        <v>43.322489264524236</v>
      </c>
      <c r="AC39" t="s">
        <v>602</v>
      </c>
      <c r="AF39" t="s">
        <v>644</v>
      </c>
    </row>
    <row r="40" spans="2:32" ht="15" customHeight="1">
      <c r="H40">
        <f>272*H34</f>
        <v>3.536</v>
      </c>
      <c r="X40">
        <f>272*X34</f>
        <v>3.5087999999999999</v>
      </c>
    </row>
    <row r="41" spans="2:32" ht="14.4" customHeight="1">
      <c r="B41" s="208">
        <v>11.8</v>
      </c>
      <c r="C41" s="103">
        <f>C30*C39</f>
        <v>142.3962497245424</v>
      </c>
      <c r="D41" t="s">
        <v>604</v>
      </c>
      <c r="H41" s="319" t="s">
        <v>603</v>
      </c>
      <c r="I41" s="319"/>
      <c r="P41">
        <f>P30*P39</f>
        <v>142.3962497245424</v>
      </c>
      <c r="Q41" t="s">
        <v>604</v>
      </c>
      <c r="X41" s="319" t="s">
        <v>603</v>
      </c>
      <c r="Y41" s="319"/>
    </row>
    <row r="42" spans="2:32">
      <c r="B42" s="208">
        <v>51.7</v>
      </c>
      <c r="C42" s="172">
        <f>C39*$C$30*8760/2000</f>
        <v>623.69557379349567</v>
      </c>
      <c r="D42" t="s">
        <v>605</v>
      </c>
      <c r="H42" s="319"/>
      <c r="I42" s="319"/>
      <c r="P42" s="172">
        <f>P39*$P$30*8760/2000</f>
        <v>623.69557379349567</v>
      </c>
      <c r="Q42" t="s">
        <v>605</v>
      </c>
      <c r="X42" s="319"/>
      <c r="Y42" s="319"/>
    </row>
    <row r="43" spans="2:32">
      <c r="H43" s="319"/>
      <c r="I43" s="319"/>
      <c r="X43" s="319"/>
      <c r="Y43" s="319"/>
    </row>
    <row r="44" spans="2:32">
      <c r="H44" s="103">
        <f>H34*$C$30</f>
        <v>11.933999999999999</v>
      </c>
      <c r="I44" t="s">
        <v>614</v>
      </c>
      <c r="L44" s="103">
        <f>L34*$C$30</f>
        <v>146.88</v>
      </c>
      <c r="M44" t="s">
        <v>614</v>
      </c>
      <c r="X44" s="103">
        <f>X34*$C$30</f>
        <v>11.8422</v>
      </c>
      <c r="Y44" t="s">
        <v>614</v>
      </c>
      <c r="AB44" s="103">
        <f>AB34*$C$30</f>
        <v>146.88</v>
      </c>
      <c r="AC44" t="s">
        <v>614</v>
      </c>
    </row>
    <row r="45" spans="2:32">
      <c r="H45" s="207">
        <f>H34*$C$30*8760/2000</f>
        <v>52.270919999999997</v>
      </c>
      <c r="I45" t="s">
        <v>615</v>
      </c>
      <c r="L45" s="207">
        <f>L34*$C$30*8760/2000</f>
        <v>643.33440000000007</v>
      </c>
      <c r="M45" t="s">
        <v>615</v>
      </c>
      <c r="X45" s="207">
        <f>X34*$C$30*8760/2000</f>
        <v>51.868836000000002</v>
      </c>
      <c r="Y45" t="s">
        <v>615</v>
      </c>
      <c r="AB45" s="207">
        <f>AB34*$C$30*8760/2000</f>
        <v>643.33440000000007</v>
      </c>
      <c r="AC45" t="s">
        <v>615</v>
      </c>
    </row>
    <row r="47" spans="2:32"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</row>
    <row r="49" spans="2:32">
      <c r="C49" t="s">
        <v>606</v>
      </c>
      <c r="H49" t="s">
        <v>595</v>
      </c>
      <c r="P49" t="s">
        <v>606</v>
      </c>
      <c r="X49" t="s">
        <v>595</v>
      </c>
    </row>
    <row r="50" spans="2:32">
      <c r="C50" s="189">
        <v>5</v>
      </c>
      <c r="D50" s="171" t="s">
        <v>575</v>
      </c>
      <c r="H50" s="194">
        <v>3.3E-3</v>
      </c>
      <c r="I50" s="171" t="s">
        <v>107</v>
      </c>
      <c r="L50" s="194">
        <v>3.0000000000000001E-3</v>
      </c>
      <c r="M50" s="171" t="s">
        <v>107</v>
      </c>
      <c r="P50" s="189">
        <v>5</v>
      </c>
      <c r="Q50" s="171" t="s">
        <v>575</v>
      </c>
      <c r="X50" s="194">
        <v>3.3E-3</v>
      </c>
      <c r="Y50" s="171" t="s">
        <v>107</v>
      </c>
      <c r="AB50" s="194">
        <v>3.0000000000000001E-3</v>
      </c>
      <c r="AC50" s="171" t="s">
        <v>107</v>
      </c>
    </row>
    <row r="51" spans="2:32">
      <c r="C51">
        <v>15</v>
      </c>
      <c r="D51" t="s">
        <v>576</v>
      </c>
      <c r="H51" s="103">
        <v>15</v>
      </c>
      <c r="I51" t="s">
        <v>576</v>
      </c>
      <c r="L51" s="103">
        <v>15</v>
      </c>
      <c r="M51" t="s">
        <v>576</v>
      </c>
      <c r="P51">
        <v>15</v>
      </c>
      <c r="Q51" t="s">
        <v>576</v>
      </c>
      <c r="X51" s="103">
        <v>15</v>
      </c>
      <c r="Y51" t="s">
        <v>576</v>
      </c>
      <c r="AB51" s="103">
        <v>15</v>
      </c>
      <c r="AC51" t="s">
        <v>576</v>
      </c>
    </row>
    <row r="52" spans="2:32">
      <c r="C52">
        <v>8710</v>
      </c>
      <c r="D52" t="s">
        <v>577</v>
      </c>
      <c r="H52">
        <v>8710</v>
      </c>
      <c r="I52" t="s">
        <v>601</v>
      </c>
      <c r="L52">
        <v>8710</v>
      </c>
      <c r="M52" t="s">
        <v>601</v>
      </c>
      <c r="P52">
        <v>8710</v>
      </c>
      <c r="Q52" t="s">
        <v>577</v>
      </c>
      <c r="X52">
        <v>8710</v>
      </c>
      <c r="Y52" t="s">
        <v>601</v>
      </c>
      <c r="AB52">
        <v>8710</v>
      </c>
      <c r="AC52" t="s">
        <v>601</v>
      </c>
    </row>
    <row r="53" spans="2:32">
      <c r="C53" s="104">
        <f>1.1419*10^-7</f>
        <v>1.1418999999999999E-7</v>
      </c>
      <c r="D53" t="s">
        <v>578</v>
      </c>
      <c r="H53" s="104">
        <f>1.1419*10^-7</f>
        <v>1.1418999999999999E-7</v>
      </c>
      <c r="I53" t="s">
        <v>578</v>
      </c>
      <c r="K53" s="171" t="s">
        <v>641</v>
      </c>
      <c r="L53" s="104">
        <f>1.1419*10^-7</f>
        <v>1.1418999999999999E-7</v>
      </c>
      <c r="M53" t="s">
        <v>578</v>
      </c>
      <c r="P53" s="104">
        <f>1.1419*10^-7</f>
        <v>1.1418999999999999E-7</v>
      </c>
      <c r="Q53" t="s">
        <v>578</v>
      </c>
      <c r="X53" s="104">
        <f>1.1419*10^-7</f>
        <v>1.1418999999999999E-7</v>
      </c>
      <c r="Y53" t="s">
        <v>578</v>
      </c>
      <c r="AA53" s="171" t="s">
        <v>641</v>
      </c>
      <c r="AB53" s="104">
        <f>1.1419*10^-7</f>
        <v>1.1418999999999999E-7</v>
      </c>
      <c r="AC53" t="s">
        <v>578</v>
      </c>
    </row>
    <row r="54" spans="2:32">
      <c r="B54" s="1" t="s">
        <v>647</v>
      </c>
    </row>
    <row r="55" spans="2:32">
      <c r="B55" s="208">
        <v>3.0000000000000001E-3</v>
      </c>
      <c r="C55" s="205">
        <f>(C50*20.9*C52*C53)/(20.9-C51)</f>
        <v>1.7616130008474579E-2</v>
      </c>
      <c r="D55" t="s">
        <v>107</v>
      </c>
      <c r="H55" s="206">
        <f>(H50*(20.9-H51))/(20.9*H52*H53)</f>
        <v>0.93664158882015258</v>
      </c>
      <c r="I55" t="s">
        <v>602</v>
      </c>
      <c r="L55" s="206">
        <f>(L50*(20.9-L51))/(20.9*L52*L53)</f>
        <v>0.85149235347286611</v>
      </c>
      <c r="M55" t="s">
        <v>602</v>
      </c>
      <c r="P55" s="104">
        <f>(P50*20.9*P52*P53)/(20.9-P51)</f>
        <v>1.7616130008474579E-2</v>
      </c>
      <c r="Q55" t="s">
        <v>107</v>
      </c>
      <c r="X55" s="206">
        <f>(X50*(20.9-X51))/(20.9*X52*X53)</f>
        <v>0.93664158882015258</v>
      </c>
      <c r="Y55" t="s">
        <v>602</v>
      </c>
      <c r="AB55" s="206">
        <f>(AB50*(20.9-AB51))/(20.9*AB52*AB53)</f>
        <v>0.85149235347286611</v>
      </c>
      <c r="AC55" t="s">
        <v>602</v>
      </c>
      <c r="AF55" t="s">
        <v>643</v>
      </c>
    </row>
    <row r="56" spans="2:32">
      <c r="H56">
        <f>H50*$C$30</f>
        <v>3.0293999999999999</v>
      </c>
      <c r="I56" t="s">
        <v>616</v>
      </c>
      <c r="L56">
        <f>L50*$C$30</f>
        <v>2.754</v>
      </c>
      <c r="M56" t="s">
        <v>616</v>
      </c>
      <c r="X56">
        <f>X50*$C$30</f>
        <v>3.0293999999999999</v>
      </c>
      <c r="Y56" t="s">
        <v>616</v>
      </c>
      <c r="AB56">
        <f>AB50*$C$30</f>
        <v>2.754</v>
      </c>
      <c r="AC56" t="s">
        <v>616</v>
      </c>
    </row>
    <row r="57" spans="2:32">
      <c r="B57" s="208" t="s">
        <v>618</v>
      </c>
      <c r="C57" s="103">
        <f>C30*C55</f>
        <v>16.171607347779663</v>
      </c>
      <c r="D57" t="s">
        <v>607</v>
      </c>
      <c r="H57">
        <f>H50*$C$30*8760/2000</f>
        <v>13.268771999999998</v>
      </c>
      <c r="I57" t="s">
        <v>617</v>
      </c>
      <c r="L57">
        <f>L50*$C$30*8760/2000</f>
        <v>12.062520000000001</v>
      </c>
      <c r="M57" t="s">
        <v>617</v>
      </c>
      <c r="P57">
        <f>P30*P55</f>
        <v>16.171607347779663</v>
      </c>
      <c r="Q57" t="s">
        <v>607</v>
      </c>
      <c r="X57">
        <f>X50*$C$30*8760/2000</f>
        <v>13.268771999999998</v>
      </c>
      <c r="Y57" t="s">
        <v>617</v>
      </c>
      <c r="AB57">
        <f>AB50*$C$30*8760/2000</f>
        <v>12.062520000000001</v>
      </c>
      <c r="AC57" t="s">
        <v>617</v>
      </c>
    </row>
    <row r="58" spans="2:32">
      <c r="B58" s="208">
        <v>12</v>
      </c>
      <c r="C58" s="172">
        <f>C55*$C$30*8760/2000</f>
        <v>70.831640183274928</v>
      </c>
      <c r="D58" t="s">
        <v>608</v>
      </c>
      <c r="P58" s="172">
        <f>P55*$P$30*8760/2000</f>
        <v>70.831640183274928</v>
      </c>
      <c r="Q58" t="s">
        <v>608</v>
      </c>
    </row>
    <row r="60" spans="2:32">
      <c r="C60" s="1" t="s">
        <v>645</v>
      </c>
      <c r="P60" s="1" t="s">
        <v>645</v>
      </c>
    </row>
    <row r="61" spans="2:32">
      <c r="C61" s="1" t="s">
        <v>646</v>
      </c>
      <c r="P61" s="1" t="s">
        <v>646</v>
      </c>
    </row>
    <row r="65" spans="7:18">
      <c r="G65" s="1" t="s">
        <v>640</v>
      </c>
    </row>
    <row r="66" spans="7:18">
      <c r="G66" s="173" t="s">
        <v>387</v>
      </c>
    </row>
    <row r="67" spans="7:18">
      <c r="G67">
        <v>300</v>
      </c>
      <c r="H67" t="s">
        <v>620</v>
      </c>
      <c r="I67" s="105" t="s">
        <v>621</v>
      </c>
      <c r="J67" s="105" t="s">
        <v>622</v>
      </c>
      <c r="K67" s="105" t="s">
        <v>623</v>
      </c>
      <c r="L67" s="105" t="s">
        <v>624</v>
      </c>
      <c r="N67" s="105" t="s">
        <v>625</v>
      </c>
      <c r="Q67" s="105" t="s">
        <v>650</v>
      </c>
      <c r="R67" s="105" t="s">
        <v>651</v>
      </c>
    </row>
    <row r="68" spans="7:18">
      <c r="G68" s="200">
        <v>0.36</v>
      </c>
      <c r="H68" t="s">
        <v>626</v>
      </c>
      <c r="N68" t="s">
        <v>627</v>
      </c>
      <c r="O68" t="s">
        <v>628</v>
      </c>
    </row>
    <row r="69" spans="7:18">
      <c r="G69" t="s">
        <v>131</v>
      </c>
      <c r="H69" t="s">
        <v>107</v>
      </c>
      <c r="I69">
        <v>0.69799999999999995</v>
      </c>
      <c r="J69">
        <v>0.69799999999999995</v>
      </c>
      <c r="K69">
        <v>0.69799999999999995</v>
      </c>
      <c r="L69">
        <v>0.37</v>
      </c>
      <c r="N69">
        <v>0.37</v>
      </c>
      <c r="O69">
        <v>0.69799999999999995</v>
      </c>
      <c r="Q69">
        <v>0.69799999999999995</v>
      </c>
      <c r="R69">
        <v>0.69799999999999995</v>
      </c>
    </row>
    <row r="70" spans="7:18">
      <c r="H70" t="s">
        <v>579</v>
      </c>
      <c r="I70">
        <v>209.4</v>
      </c>
      <c r="J70">
        <v>209.4</v>
      </c>
      <c r="K70">
        <v>209.4</v>
      </c>
      <c r="L70">
        <v>110</v>
      </c>
      <c r="N70">
        <v>110</v>
      </c>
      <c r="O70">
        <v>209.4</v>
      </c>
      <c r="Q70">
        <v>209.4</v>
      </c>
      <c r="R70">
        <v>209.4</v>
      </c>
    </row>
    <row r="71" spans="7:18">
      <c r="H71" t="s">
        <v>455</v>
      </c>
      <c r="I71">
        <v>275.2</v>
      </c>
      <c r="J71">
        <v>330.2</v>
      </c>
      <c r="K71">
        <v>330.2</v>
      </c>
      <c r="L71">
        <v>175</v>
      </c>
      <c r="N71">
        <v>175</v>
      </c>
      <c r="O71">
        <v>45.9</v>
      </c>
      <c r="Q71">
        <v>45.9</v>
      </c>
      <c r="R71">
        <v>45.9</v>
      </c>
    </row>
    <row r="72" spans="7:18">
      <c r="G72" t="s">
        <v>135</v>
      </c>
      <c r="H72" t="s">
        <v>579</v>
      </c>
      <c r="I72">
        <v>9.2200000000000006</v>
      </c>
      <c r="J72">
        <v>9.2200000000000006</v>
      </c>
      <c r="K72">
        <v>9.2200000000000006</v>
      </c>
      <c r="L72">
        <v>4.0999999999999996</v>
      </c>
      <c r="N72">
        <v>4.0999999999999996</v>
      </c>
      <c r="O72">
        <v>9.2200000000000006</v>
      </c>
      <c r="Q72">
        <v>9.2200000000000006</v>
      </c>
      <c r="R72">
        <v>9.2200000000000006</v>
      </c>
    </row>
    <row r="73" spans="7:18">
      <c r="H73" t="s">
        <v>455</v>
      </c>
      <c r="I73">
        <v>14.54</v>
      </c>
      <c r="J73">
        <v>14.54</v>
      </c>
      <c r="K73">
        <v>14.54</v>
      </c>
      <c r="L73">
        <v>6.54</v>
      </c>
      <c r="N73">
        <v>6.54</v>
      </c>
      <c r="O73">
        <v>2</v>
      </c>
      <c r="Q73">
        <v>2</v>
      </c>
      <c r="R73">
        <v>2</v>
      </c>
    </row>
    <row r="75" spans="7:18">
      <c r="G75" s="173" t="s">
        <v>629</v>
      </c>
    </row>
    <row r="76" spans="7:18">
      <c r="G76">
        <v>678</v>
      </c>
      <c r="H76" t="s">
        <v>620</v>
      </c>
      <c r="I76" s="105" t="s">
        <v>621</v>
      </c>
      <c r="J76" s="105" t="s">
        <v>622</v>
      </c>
      <c r="K76" s="105" t="s">
        <v>623</v>
      </c>
      <c r="L76" s="105" t="s">
        <v>624</v>
      </c>
      <c r="N76" s="105"/>
      <c r="Q76" s="105" t="s">
        <v>650</v>
      </c>
      <c r="R76" s="105" t="s">
        <v>651</v>
      </c>
    </row>
    <row r="77" spans="7:18">
      <c r="G77" s="21" t="s">
        <v>630</v>
      </c>
      <c r="H77" t="s">
        <v>620</v>
      </c>
      <c r="J77" s="201"/>
    </row>
    <row r="78" spans="7:18">
      <c r="G78" s="202" t="s">
        <v>631</v>
      </c>
      <c r="H78" t="s">
        <v>632</v>
      </c>
      <c r="J78" s="201"/>
    </row>
    <row r="79" spans="7:18">
      <c r="G79" t="s">
        <v>131</v>
      </c>
      <c r="H79" t="s">
        <v>633</v>
      </c>
      <c r="I79">
        <v>11.8</v>
      </c>
      <c r="J79">
        <v>11.8</v>
      </c>
      <c r="K79">
        <v>11.8</v>
      </c>
      <c r="L79">
        <v>11.8</v>
      </c>
      <c r="Q79">
        <v>11.8</v>
      </c>
      <c r="R79">
        <v>11.8</v>
      </c>
    </row>
    <row r="80" spans="7:18">
      <c r="H80" t="s">
        <v>634</v>
      </c>
      <c r="I80">
        <v>51.7</v>
      </c>
      <c r="J80">
        <v>51.7</v>
      </c>
      <c r="K80">
        <v>51.7</v>
      </c>
      <c r="L80">
        <v>51.7</v>
      </c>
      <c r="Q80">
        <v>51.7</v>
      </c>
      <c r="R80">
        <v>51.7</v>
      </c>
    </row>
    <row r="81" spans="7:18">
      <c r="G81" t="s">
        <v>135</v>
      </c>
      <c r="H81" t="s">
        <v>633</v>
      </c>
      <c r="I81">
        <v>3</v>
      </c>
      <c r="J81">
        <v>3</v>
      </c>
      <c r="K81">
        <v>3</v>
      </c>
      <c r="L81">
        <v>3</v>
      </c>
      <c r="Q81">
        <v>3</v>
      </c>
      <c r="R81">
        <v>3</v>
      </c>
    </row>
    <row r="82" spans="7:18">
      <c r="H82" t="s">
        <v>634</v>
      </c>
      <c r="I82">
        <v>12</v>
      </c>
      <c r="J82">
        <v>12</v>
      </c>
      <c r="K82">
        <v>12</v>
      </c>
      <c r="L82">
        <v>12</v>
      </c>
      <c r="Q82">
        <v>12</v>
      </c>
      <c r="R82">
        <v>12</v>
      </c>
    </row>
    <row r="84" spans="7:18">
      <c r="G84" s="173" t="s">
        <v>629</v>
      </c>
      <c r="I84" s="105" t="s">
        <v>635</v>
      </c>
      <c r="J84" s="203" t="s">
        <v>636</v>
      </c>
      <c r="K84" s="105" t="s">
        <v>637</v>
      </c>
      <c r="L84" s="105" t="s">
        <v>638</v>
      </c>
      <c r="M84" s="105" t="s">
        <v>639</v>
      </c>
      <c r="N84" s="105" t="s">
        <v>625</v>
      </c>
    </row>
    <row r="85" spans="7:18">
      <c r="G85" s="21" t="s">
        <v>630</v>
      </c>
      <c r="H85" t="s">
        <v>620</v>
      </c>
      <c r="J85" s="201"/>
    </row>
    <row r="86" spans="7:18">
      <c r="G86" s="202" t="s">
        <v>631</v>
      </c>
      <c r="H86" t="s">
        <v>632</v>
      </c>
      <c r="J86" s="200">
        <v>1</v>
      </c>
      <c r="K86" s="200">
        <v>1</v>
      </c>
      <c r="L86" s="200">
        <v>1</v>
      </c>
      <c r="M86" s="204" t="s">
        <v>383</v>
      </c>
    </row>
    <row r="87" spans="7:18">
      <c r="G87" t="s">
        <v>131</v>
      </c>
      <c r="H87" t="s">
        <v>633</v>
      </c>
      <c r="I87">
        <v>11.8</v>
      </c>
      <c r="J87">
        <v>11.8</v>
      </c>
      <c r="K87">
        <v>11.8</v>
      </c>
      <c r="L87">
        <v>11.8</v>
      </c>
      <c r="M87" s="204" t="s">
        <v>383</v>
      </c>
      <c r="N87">
        <v>11.8</v>
      </c>
    </row>
    <row r="88" spans="7:18">
      <c r="H88" t="s">
        <v>634</v>
      </c>
      <c r="I88">
        <v>51.7</v>
      </c>
      <c r="J88">
        <v>51.7</v>
      </c>
      <c r="K88">
        <v>51.7</v>
      </c>
      <c r="L88">
        <v>51.7</v>
      </c>
      <c r="M88" s="204" t="s">
        <v>383</v>
      </c>
      <c r="N88">
        <v>51.7</v>
      </c>
    </row>
    <row r="89" spans="7:18">
      <c r="G89" t="s">
        <v>135</v>
      </c>
      <c r="H89" t="s">
        <v>633</v>
      </c>
      <c r="I89">
        <v>3</v>
      </c>
      <c r="J89">
        <v>3</v>
      </c>
      <c r="K89">
        <v>3</v>
      </c>
      <c r="L89">
        <v>3</v>
      </c>
      <c r="M89" s="204" t="s">
        <v>383</v>
      </c>
      <c r="N89">
        <v>3</v>
      </c>
    </row>
    <row r="90" spans="7:18">
      <c r="H90" t="s">
        <v>634</v>
      </c>
      <c r="I90">
        <v>12</v>
      </c>
      <c r="J90">
        <v>12</v>
      </c>
      <c r="K90">
        <v>12</v>
      </c>
      <c r="L90">
        <v>12</v>
      </c>
      <c r="M90" s="204" t="s">
        <v>383</v>
      </c>
      <c r="N90">
        <v>12</v>
      </c>
    </row>
  </sheetData>
  <mergeCells count="2">
    <mergeCell ref="H41:I43"/>
    <mergeCell ref="X41:Y43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BC4C-88FB-443D-BD0F-6C24640A08EE}">
  <dimension ref="B1:O133"/>
  <sheetViews>
    <sheetView workbookViewId="0">
      <selection activeCell="E21" sqref="E21"/>
    </sheetView>
  </sheetViews>
  <sheetFormatPr defaultRowHeight="14.4"/>
  <cols>
    <col min="1" max="1" width="14" customWidth="1"/>
    <col min="2" max="4" width="16.6640625" customWidth="1"/>
    <col min="5" max="5" width="14.5546875" customWidth="1"/>
    <col min="6" max="6" width="16" customWidth="1"/>
    <col min="7" max="7" width="14.33203125" customWidth="1"/>
    <col min="8" max="8" width="13.44140625" customWidth="1"/>
    <col min="9" max="12" width="12.6640625" customWidth="1"/>
    <col min="13" max="13" width="13.5546875" customWidth="1"/>
    <col min="14" max="14" width="12.6640625" customWidth="1"/>
  </cols>
  <sheetData>
    <row r="1" spans="2:15">
      <c r="E1" s="21" t="s">
        <v>363</v>
      </c>
      <c r="F1" t="s">
        <v>389</v>
      </c>
    </row>
    <row r="2" spans="2:15">
      <c r="E2" s="21" t="s">
        <v>364</v>
      </c>
      <c r="F2" t="s">
        <v>390</v>
      </c>
    </row>
    <row r="3" spans="2:15">
      <c r="E3" s="21" t="s">
        <v>365</v>
      </c>
      <c r="F3" t="s">
        <v>513</v>
      </c>
    </row>
    <row r="4" spans="2:15">
      <c r="E4" s="21" t="s">
        <v>366</v>
      </c>
      <c r="F4" t="s">
        <v>388</v>
      </c>
    </row>
    <row r="5" spans="2:15">
      <c r="C5" t="s">
        <v>367</v>
      </c>
      <c r="E5" s="21" t="s">
        <v>368</v>
      </c>
      <c r="F5" s="37">
        <v>45517</v>
      </c>
    </row>
    <row r="7" spans="2:15">
      <c r="B7" s="1" t="s">
        <v>369</v>
      </c>
    </row>
    <row r="9" spans="2:15" ht="14.4" customHeight="1">
      <c r="B9" s="262" t="s">
        <v>97</v>
      </c>
      <c r="C9" s="268" t="s">
        <v>370</v>
      </c>
      <c r="D9" s="269"/>
      <c r="E9" s="262" t="s">
        <v>115</v>
      </c>
      <c r="F9" s="262" t="s">
        <v>371</v>
      </c>
      <c r="G9" s="262" t="s">
        <v>372</v>
      </c>
      <c r="H9" s="262" t="s">
        <v>386</v>
      </c>
      <c r="I9" s="263" t="s">
        <v>675</v>
      </c>
      <c r="J9" s="262" t="s">
        <v>373</v>
      </c>
      <c r="K9" s="262" t="s">
        <v>374</v>
      </c>
      <c r="L9" s="262" t="s">
        <v>391</v>
      </c>
      <c r="M9" s="262" t="s">
        <v>392</v>
      </c>
      <c r="O9" t="s">
        <v>510</v>
      </c>
    </row>
    <row r="10" spans="2:15" ht="15" customHeight="1">
      <c r="B10" s="262"/>
      <c r="C10" s="270"/>
      <c r="D10" s="271"/>
      <c r="E10" s="262"/>
      <c r="F10" s="262"/>
      <c r="G10" s="262"/>
      <c r="H10" s="262"/>
      <c r="I10" s="264"/>
      <c r="J10" s="262"/>
      <c r="K10" s="262"/>
      <c r="L10" s="262"/>
      <c r="M10" s="262"/>
      <c r="O10" t="s">
        <v>511</v>
      </c>
    </row>
    <row r="11" spans="2:15">
      <c r="B11" s="262"/>
      <c r="C11" s="272"/>
      <c r="D11" s="273"/>
      <c r="E11" s="262"/>
      <c r="F11" s="262"/>
      <c r="G11" s="262"/>
      <c r="H11" s="262"/>
      <c r="I11" s="265"/>
      <c r="J11" s="262"/>
      <c r="K11" s="262"/>
      <c r="L11" s="262"/>
      <c r="M11" s="262"/>
      <c r="O11" t="s">
        <v>512</v>
      </c>
    </row>
    <row r="12" spans="2:15">
      <c r="B12" s="19" t="s">
        <v>4</v>
      </c>
      <c r="C12" s="274" t="s">
        <v>385</v>
      </c>
      <c r="D12" s="275"/>
      <c r="E12" s="19" t="s">
        <v>12</v>
      </c>
      <c r="F12" s="19">
        <v>22</v>
      </c>
      <c r="G12" s="19">
        <f>'Input Data'!F2</f>
        <v>300</v>
      </c>
      <c r="H12" s="148" t="s">
        <v>10</v>
      </c>
      <c r="I12" s="75">
        <v>138211</v>
      </c>
      <c r="J12" s="39" t="s">
        <v>10</v>
      </c>
      <c r="K12" s="36">
        <f>8760*M12</f>
        <v>438</v>
      </c>
      <c r="L12" s="19">
        <f>K12</f>
        <v>438</v>
      </c>
      <c r="M12" s="90">
        <v>0.05</v>
      </c>
    </row>
    <row r="13" spans="2:15">
      <c r="B13" s="19" t="s">
        <v>81</v>
      </c>
      <c r="C13" s="274" t="s">
        <v>375</v>
      </c>
      <c r="D13" s="275"/>
      <c r="E13" s="19" t="s">
        <v>82</v>
      </c>
      <c r="F13" s="19">
        <v>63</v>
      </c>
      <c r="G13" s="19">
        <f>'Input Data'!F36</f>
        <v>918</v>
      </c>
      <c r="H13" s="78">
        <f>G13*K13/1000000/J13*1000000</f>
        <v>7747.2832369942189</v>
      </c>
      <c r="I13" s="39" t="s">
        <v>10</v>
      </c>
      <c r="J13" s="19">
        <v>1038</v>
      </c>
      <c r="K13" s="19">
        <v>8760</v>
      </c>
      <c r="L13" s="19">
        <f>K13</f>
        <v>8760</v>
      </c>
      <c r="M13" s="39" t="s">
        <v>10</v>
      </c>
    </row>
    <row r="14" spans="2:15">
      <c r="B14" s="19" t="s">
        <v>85</v>
      </c>
      <c r="C14" s="274" t="s">
        <v>375</v>
      </c>
      <c r="D14" s="275"/>
      <c r="E14" s="19" t="s">
        <v>82</v>
      </c>
      <c r="F14" s="19">
        <v>63</v>
      </c>
      <c r="G14" s="19">
        <f>'Input Data'!F70</f>
        <v>918</v>
      </c>
      <c r="H14" s="78">
        <f>G14*K14/1000000/J14*1000000</f>
        <v>7747.2832369942189</v>
      </c>
      <c r="I14" s="39" t="s">
        <v>10</v>
      </c>
      <c r="J14" s="19">
        <v>1038</v>
      </c>
      <c r="K14" s="19">
        <v>8760</v>
      </c>
      <c r="L14" s="19">
        <f>K14</f>
        <v>8760</v>
      </c>
      <c r="M14" s="39" t="s">
        <v>10</v>
      </c>
    </row>
    <row r="15" spans="2:15">
      <c r="B15" s="19" t="s">
        <v>86</v>
      </c>
      <c r="C15" s="274" t="s">
        <v>375</v>
      </c>
      <c r="D15" s="275"/>
      <c r="E15" s="19" t="s">
        <v>82</v>
      </c>
      <c r="F15" s="19">
        <v>63</v>
      </c>
      <c r="G15" s="19">
        <f>'Input Data'!F104</f>
        <v>918</v>
      </c>
      <c r="H15" s="78">
        <f>G15*K15/1000000/J15*1000000</f>
        <v>7747.2832369942189</v>
      </c>
      <c r="I15" s="39" t="s">
        <v>10</v>
      </c>
      <c r="J15" s="19">
        <v>1038</v>
      </c>
      <c r="K15" s="19">
        <v>8760</v>
      </c>
      <c r="L15" s="19">
        <f>K15</f>
        <v>8760</v>
      </c>
      <c r="M15" s="39" t="s">
        <v>10</v>
      </c>
    </row>
    <row r="17" spans="2:13">
      <c r="B17" s="1" t="s">
        <v>502</v>
      </c>
    </row>
    <row r="18" spans="2:13">
      <c r="G18" s="30" t="s">
        <v>387</v>
      </c>
    </row>
    <row r="19" spans="2:13">
      <c r="B19" s="266" t="s">
        <v>472</v>
      </c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13">
      <c r="B20" s="26" t="s">
        <v>362</v>
      </c>
      <c r="C20" s="26" t="s">
        <v>330</v>
      </c>
      <c r="D20" s="26" t="s">
        <v>377</v>
      </c>
      <c r="E20" s="26" t="s">
        <v>378</v>
      </c>
      <c r="F20" s="26" t="s">
        <v>135</v>
      </c>
      <c r="G20" s="26" t="s">
        <v>146</v>
      </c>
      <c r="H20" s="26" t="s">
        <v>129</v>
      </c>
      <c r="I20" s="35" t="s">
        <v>120</v>
      </c>
      <c r="J20" s="35" t="s">
        <v>103</v>
      </c>
      <c r="K20" s="35" t="s">
        <v>379</v>
      </c>
      <c r="L20" s="35" t="s">
        <v>380</v>
      </c>
      <c r="M20" s="35" t="s">
        <v>230</v>
      </c>
    </row>
    <row r="21" spans="2:13">
      <c r="B21" s="19">
        <f>'Emission Factors'!D3</f>
        <v>5.0000000000000001E-3</v>
      </c>
      <c r="C21" s="19">
        <f>'Emission Factors'!D5</f>
        <v>5.0000000000000001E-3</v>
      </c>
      <c r="D21" s="19">
        <f>B21</f>
        <v>5.0000000000000001E-3</v>
      </c>
      <c r="E21" s="19">
        <f>'Emission Factors'!D8</f>
        <v>0.69799999999999995</v>
      </c>
      <c r="F21" s="94">
        <f>'Emission Factors'!D9</f>
        <v>3.0733333333333335E-2</v>
      </c>
      <c r="G21" s="94">
        <f>'Emission Factors'!D10</f>
        <v>0.11833333333333333</v>
      </c>
      <c r="H21" s="19">
        <f>'Emission Factors'!D7</f>
        <v>0.21</v>
      </c>
      <c r="I21" s="36" t="s">
        <v>10</v>
      </c>
      <c r="J21" s="36" t="s">
        <v>10</v>
      </c>
      <c r="K21" s="36" t="s">
        <v>10</v>
      </c>
      <c r="L21" s="36">
        <f>'Emission Factors'!Z49</f>
        <v>1.4E-5</v>
      </c>
      <c r="M21" s="107">
        <f>'Emission Factors'!Z42</f>
        <v>2.7999999999999998E-4</v>
      </c>
    </row>
    <row r="22" spans="2:13">
      <c r="I22" s="92"/>
      <c r="J22" s="92"/>
      <c r="K22" s="92"/>
      <c r="L22" s="92"/>
      <c r="M22" s="106"/>
    </row>
    <row r="23" spans="2:13">
      <c r="G23" s="30" t="s">
        <v>687</v>
      </c>
      <c r="I23" s="92"/>
      <c r="J23" s="92"/>
      <c r="K23" s="92"/>
      <c r="L23" s="92"/>
      <c r="M23" s="106"/>
    </row>
    <row r="24" spans="2:13">
      <c r="B24" s="267" t="s">
        <v>471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</row>
    <row r="25" spans="2:13">
      <c r="B25" s="35" t="s">
        <v>362</v>
      </c>
      <c r="C25" s="35" t="s">
        <v>330</v>
      </c>
      <c r="D25" s="35" t="s">
        <v>377</v>
      </c>
      <c r="E25" s="26" t="s">
        <v>378</v>
      </c>
      <c r="F25" s="35" t="s">
        <v>135</v>
      </c>
      <c r="G25" s="26" t="s">
        <v>146</v>
      </c>
      <c r="H25" s="35" t="s">
        <v>129</v>
      </c>
      <c r="I25" s="35" t="s">
        <v>120</v>
      </c>
      <c r="J25" s="35" t="s">
        <v>103</v>
      </c>
      <c r="K25" s="35" t="s">
        <v>379</v>
      </c>
      <c r="L25" s="35" t="s">
        <v>380</v>
      </c>
      <c r="M25" s="35" t="s">
        <v>230</v>
      </c>
    </row>
    <row r="26" spans="2:13">
      <c r="B26" s="33">
        <f>'Emission Factors'!D14</f>
        <v>1.4999999999999999E-2</v>
      </c>
      <c r="C26" s="33">
        <f>'Emission Factors'!D16</f>
        <v>1.4999999999999999E-2</v>
      </c>
      <c r="D26" s="33">
        <f>B26</f>
        <v>1.4999999999999999E-2</v>
      </c>
      <c r="E26" s="108">
        <f>'Emission Factors'!D19</f>
        <v>1.2854030501089325E-2</v>
      </c>
      <c r="F26" s="95">
        <f>'Emission Factors'!D20</f>
        <v>2.9844510102366669E-3</v>
      </c>
      <c r="G26" s="108">
        <f>'Emission Factors'!D21</f>
        <v>4.357298474945534E-2</v>
      </c>
      <c r="H26" s="36">
        <f>'Emission Factors'!D18</f>
        <v>2.8600000000000001E-3</v>
      </c>
      <c r="I26" s="36" t="s">
        <v>10</v>
      </c>
      <c r="J26" s="95">
        <f>'Emission Factors'!D13</f>
        <v>1.5250544662309368E-2</v>
      </c>
      <c r="K26" s="36" t="s">
        <v>10</v>
      </c>
      <c r="L26" s="36" t="s">
        <v>10</v>
      </c>
      <c r="M26" s="36">
        <f>'Emission Factors'!AB42</f>
        <v>7.1000000000000002E-4</v>
      </c>
    </row>
    <row r="27" spans="2:13">
      <c r="I27" s="92"/>
      <c r="J27" s="92"/>
      <c r="K27" s="92"/>
      <c r="L27" s="92"/>
      <c r="M27" s="106"/>
    </row>
    <row r="28" spans="2:13">
      <c r="I28" s="92"/>
      <c r="J28" s="92"/>
      <c r="K28" s="92"/>
      <c r="L28" s="92"/>
      <c r="M28" s="106"/>
    </row>
    <row r="29" spans="2:13">
      <c r="B29" s="1" t="s">
        <v>501</v>
      </c>
    </row>
    <row r="30" spans="2:13">
      <c r="G30" s="30" t="s">
        <v>387</v>
      </c>
    </row>
    <row r="31" spans="2:13">
      <c r="B31" s="266" t="s">
        <v>376</v>
      </c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</row>
    <row r="32" spans="2:13">
      <c r="B32" s="26" t="s">
        <v>362</v>
      </c>
      <c r="C32" s="26" t="s">
        <v>330</v>
      </c>
      <c r="D32" s="26" t="s">
        <v>377</v>
      </c>
      <c r="E32" s="26" t="s">
        <v>378</v>
      </c>
      <c r="F32" s="26" t="s">
        <v>135</v>
      </c>
      <c r="G32" s="26" t="s">
        <v>146</v>
      </c>
      <c r="H32" s="26" t="s">
        <v>129</v>
      </c>
      <c r="I32" s="35" t="s">
        <v>120</v>
      </c>
      <c r="J32" s="35" t="s">
        <v>103</v>
      </c>
      <c r="K32" s="35" t="s">
        <v>379</v>
      </c>
      <c r="L32" s="35" t="s">
        <v>380</v>
      </c>
      <c r="M32" s="35" t="s">
        <v>230</v>
      </c>
    </row>
    <row r="33" spans="2:14">
      <c r="B33" s="19">
        <f>G12*B21</f>
        <v>1.5</v>
      </c>
      <c r="C33" s="19">
        <f>B33</f>
        <v>1.5</v>
      </c>
      <c r="D33" s="19">
        <f>C33</f>
        <v>1.5</v>
      </c>
      <c r="E33" s="19">
        <f>G12*E21</f>
        <v>209.39999999999998</v>
      </c>
      <c r="F33" s="19">
        <f>G12*F21</f>
        <v>9.2200000000000006</v>
      </c>
      <c r="G33" s="19">
        <f>G12*G21</f>
        <v>35.5</v>
      </c>
      <c r="H33" s="19">
        <f>G12*H21</f>
        <v>63</v>
      </c>
      <c r="I33" s="36" t="s">
        <v>10</v>
      </c>
      <c r="J33" s="36" t="s">
        <v>10</v>
      </c>
      <c r="K33" s="36" t="s">
        <v>10</v>
      </c>
      <c r="L33" s="36">
        <f>G12*L21</f>
        <v>4.1999999999999997E-3</v>
      </c>
      <c r="M33" s="77">
        <f>M34*2000/438</f>
        <v>8.4018264840182641E-2</v>
      </c>
    </row>
    <row r="34" spans="2:14">
      <c r="M34" s="76">
        <v>1.84E-2</v>
      </c>
      <c r="N34" s="76" t="s">
        <v>455</v>
      </c>
    </row>
    <row r="35" spans="2:14">
      <c r="B35" s="266" t="s">
        <v>381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2:14">
      <c r="B36" s="26" t="s">
        <v>362</v>
      </c>
      <c r="C36" s="26" t="s">
        <v>330</v>
      </c>
      <c r="D36" s="26" t="s">
        <v>377</v>
      </c>
      <c r="E36" s="26" t="s">
        <v>378</v>
      </c>
      <c r="F36" s="26" t="s">
        <v>135</v>
      </c>
      <c r="G36" s="26" t="s">
        <v>146</v>
      </c>
      <c r="H36" s="26" t="s">
        <v>129</v>
      </c>
      <c r="I36" s="35" t="s">
        <v>120</v>
      </c>
      <c r="J36" s="35" t="s">
        <v>103</v>
      </c>
      <c r="K36" s="35" t="s">
        <v>379</v>
      </c>
      <c r="L36" s="35" t="s">
        <v>382</v>
      </c>
      <c r="M36" s="35" t="s">
        <v>230</v>
      </c>
    </row>
    <row r="37" spans="2:14">
      <c r="B37" s="19">
        <f>B33*K12</f>
        <v>657</v>
      </c>
      <c r="C37" s="19">
        <f>C33*K12</f>
        <v>657</v>
      </c>
      <c r="D37" s="19">
        <f>D33*K12</f>
        <v>657</v>
      </c>
      <c r="E37" s="19">
        <f>E33*K12</f>
        <v>91717.2</v>
      </c>
      <c r="F37" s="19">
        <f>F33*K12</f>
        <v>4038.36</v>
      </c>
      <c r="G37" s="19">
        <f>G33*K12</f>
        <v>15549</v>
      </c>
      <c r="H37" s="19">
        <f>H33*K12</f>
        <v>27594</v>
      </c>
      <c r="I37" s="36" t="s">
        <v>10</v>
      </c>
      <c r="J37" s="36" t="s">
        <v>10</v>
      </c>
      <c r="K37" s="36" t="s">
        <v>10</v>
      </c>
      <c r="L37" s="95">
        <f>L33*K12</f>
        <v>1.8395999999999999</v>
      </c>
      <c r="M37" s="78">
        <f>M33*K12</f>
        <v>36.799999999999997</v>
      </c>
    </row>
    <row r="39" spans="2:14">
      <c r="B39" s="266" t="s">
        <v>384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2:14">
      <c r="B40" s="26" t="s">
        <v>362</v>
      </c>
      <c r="C40" s="26" t="s">
        <v>330</v>
      </c>
      <c r="D40" s="26" t="s">
        <v>377</v>
      </c>
      <c r="E40" s="26" t="s">
        <v>378</v>
      </c>
      <c r="F40" s="26" t="s">
        <v>135</v>
      </c>
      <c r="G40" s="26" t="s">
        <v>146</v>
      </c>
      <c r="H40" s="26" t="s">
        <v>129</v>
      </c>
      <c r="I40" s="35" t="s">
        <v>120</v>
      </c>
      <c r="J40" s="35" t="s">
        <v>103</v>
      </c>
      <c r="K40" s="35" t="s">
        <v>379</v>
      </c>
      <c r="L40" s="35" t="s">
        <v>382</v>
      </c>
      <c r="M40" s="35" t="s">
        <v>230</v>
      </c>
    </row>
    <row r="41" spans="2:14">
      <c r="B41" s="94">
        <f>B37/2000</f>
        <v>0.32850000000000001</v>
      </c>
      <c r="C41" s="94">
        <f>C37/2000</f>
        <v>0.32850000000000001</v>
      </c>
      <c r="D41" s="94">
        <f t="shared" ref="D41:M41" si="0">D37/2000</f>
        <v>0.32850000000000001</v>
      </c>
      <c r="E41" s="94">
        <f>E37/2000</f>
        <v>45.858599999999996</v>
      </c>
      <c r="F41" s="94">
        <f>F37/2000</f>
        <v>2.01918</v>
      </c>
      <c r="G41" s="94">
        <f t="shared" si="0"/>
        <v>7.7744999999999997</v>
      </c>
      <c r="H41" s="94">
        <f>H37/2000</f>
        <v>13.797000000000001</v>
      </c>
      <c r="I41" s="36" t="s">
        <v>10</v>
      </c>
      <c r="J41" s="36" t="s">
        <v>10</v>
      </c>
      <c r="K41" s="36" t="s">
        <v>10</v>
      </c>
      <c r="L41" s="36">
        <f>L37/2000</f>
        <v>9.1979999999999991E-4</v>
      </c>
      <c r="M41" s="36">
        <f t="shared" si="0"/>
        <v>1.84E-2</v>
      </c>
    </row>
    <row r="42" spans="2:14">
      <c r="B42" t="s">
        <v>466</v>
      </c>
      <c r="M42">
        <f>'Input Data'!B27*'Input Data'!B12/1000000*'Emission Factors'!Z42/2000</f>
        <v>1.8395999999999996E-2</v>
      </c>
    </row>
    <row r="44" spans="2:14">
      <c r="G44" s="30" t="s">
        <v>497</v>
      </c>
    </row>
    <row r="45" spans="2:14">
      <c r="B45" s="267" t="s">
        <v>376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2:14">
      <c r="B46" s="35" t="s">
        <v>362</v>
      </c>
      <c r="C46" s="35" t="s">
        <v>330</v>
      </c>
      <c r="D46" s="35" t="s">
        <v>377</v>
      </c>
      <c r="E46" s="26" t="s">
        <v>378</v>
      </c>
      <c r="F46" s="34" t="s">
        <v>135</v>
      </c>
      <c r="G46" s="26" t="s">
        <v>146</v>
      </c>
      <c r="H46" s="35" t="s">
        <v>129</v>
      </c>
      <c r="I46" s="35" t="s">
        <v>120</v>
      </c>
      <c r="J46" s="35" t="s">
        <v>103</v>
      </c>
      <c r="K46" s="35" t="s">
        <v>379</v>
      </c>
      <c r="L46" s="35" t="s">
        <v>380</v>
      </c>
      <c r="M46" s="35" t="s">
        <v>230</v>
      </c>
    </row>
    <row r="47" spans="2:14">
      <c r="B47" s="33">
        <f>'REF 1'!K15</f>
        <v>6.7</v>
      </c>
      <c r="C47" s="33">
        <f>'REF 1'!K16</f>
        <v>6.7</v>
      </c>
      <c r="D47" s="33">
        <f>C47</f>
        <v>6.7</v>
      </c>
      <c r="E47" s="19">
        <f>'REF 1'!K17</f>
        <v>11.8</v>
      </c>
      <c r="F47" s="91">
        <f>'REF 1'!K21</f>
        <v>3</v>
      </c>
      <c r="G47" s="19">
        <f>'REF 1'!K19</f>
        <v>40</v>
      </c>
      <c r="H47" s="36">
        <f>'REF 1'!K18</f>
        <v>2.6</v>
      </c>
      <c r="I47" s="36" t="s">
        <v>10</v>
      </c>
      <c r="J47" s="36">
        <v>14</v>
      </c>
      <c r="K47" s="36" t="s">
        <v>10</v>
      </c>
      <c r="L47" s="36" t="s">
        <v>10</v>
      </c>
      <c r="M47" s="36">
        <v>0.64</v>
      </c>
    </row>
    <row r="48" spans="2:14">
      <c r="F48" s="103"/>
      <c r="H48" s="103"/>
      <c r="M48" s="103"/>
    </row>
    <row r="49" spans="2:13">
      <c r="B49" s="266" t="s">
        <v>381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</row>
    <row r="50" spans="2:13">
      <c r="B50" s="35" t="s">
        <v>362</v>
      </c>
      <c r="C50" s="35" t="s">
        <v>330</v>
      </c>
      <c r="D50" s="35" t="s">
        <v>377</v>
      </c>
      <c r="E50" s="26" t="s">
        <v>378</v>
      </c>
      <c r="F50" s="26" t="s">
        <v>135</v>
      </c>
      <c r="G50" s="26" t="s">
        <v>146</v>
      </c>
      <c r="H50" s="35" t="s">
        <v>129</v>
      </c>
      <c r="I50" s="35" t="s">
        <v>120</v>
      </c>
      <c r="J50" s="35" t="s">
        <v>103</v>
      </c>
      <c r="K50" s="35" t="s">
        <v>379</v>
      </c>
      <c r="L50" s="35" t="s">
        <v>382</v>
      </c>
      <c r="M50" s="35" t="s">
        <v>230</v>
      </c>
    </row>
    <row r="51" spans="2:13">
      <c r="B51" s="36">
        <f>B47*K13</f>
        <v>58692</v>
      </c>
      <c r="C51" s="36">
        <f>C47*K13</f>
        <v>58692</v>
      </c>
      <c r="D51" s="36">
        <f>D47*K13</f>
        <v>58692</v>
      </c>
      <c r="E51" s="19">
        <f>E47*K13</f>
        <v>103368</v>
      </c>
      <c r="F51" s="19">
        <f>F47*K13</f>
        <v>26280</v>
      </c>
      <c r="G51" s="19">
        <f>G47*K13</f>
        <v>350400</v>
      </c>
      <c r="H51" s="36">
        <f>H47*K13</f>
        <v>22776</v>
      </c>
      <c r="I51" s="36" t="s">
        <v>10</v>
      </c>
      <c r="J51" s="36">
        <f>J47*K13</f>
        <v>122640</v>
      </c>
      <c r="K51" s="36" t="s">
        <v>10</v>
      </c>
      <c r="L51" s="36" t="s">
        <v>10</v>
      </c>
      <c r="M51" s="36">
        <f>M47*K13</f>
        <v>5606.4000000000005</v>
      </c>
    </row>
    <row r="53" spans="2:13">
      <c r="B53" s="266" t="s">
        <v>384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</row>
    <row r="54" spans="2:13">
      <c r="B54" s="35" t="s">
        <v>362</v>
      </c>
      <c r="C54" s="35" t="s">
        <v>330</v>
      </c>
      <c r="D54" s="35" t="s">
        <v>377</v>
      </c>
      <c r="E54" s="26" t="s">
        <v>378</v>
      </c>
      <c r="F54" s="34" t="s">
        <v>135</v>
      </c>
      <c r="G54" s="26" t="s">
        <v>146</v>
      </c>
      <c r="H54" s="35" t="s">
        <v>129</v>
      </c>
      <c r="I54" s="35" t="s">
        <v>120</v>
      </c>
      <c r="J54" s="35" t="s">
        <v>103</v>
      </c>
      <c r="K54" s="35" t="s">
        <v>379</v>
      </c>
      <c r="L54" s="35" t="s">
        <v>382</v>
      </c>
      <c r="M54" s="35" t="s">
        <v>230</v>
      </c>
    </row>
    <row r="55" spans="2:13">
      <c r="B55" s="36">
        <f>B51/2000</f>
        <v>29.346</v>
      </c>
      <c r="C55" s="36">
        <f t="shared" ref="C55:J55" si="1">C51/2000</f>
        <v>29.346</v>
      </c>
      <c r="D55" s="36">
        <f t="shared" si="1"/>
        <v>29.346</v>
      </c>
      <c r="E55" s="19">
        <f t="shared" si="1"/>
        <v>51.683999999999997</v>
      </c>
      <c r="F55" s="33">
        <v>12</v>
      </c>
      <c r="G55" s="19">
        <f>G51/2000</f>
        <v>175.2</v>
      </c>
      <c r="H55" s="36">
        <f>H51/2000</f>
        <v>11.388</v>
      </c>
      <c r="I55" s="36" t="s">
        <v>10</v>
      </c>
      <c r="J55" s="36">
        <f t="shared" si="1"/>
        <v>61.32</v>
      </c>
      <c r="K55" s="36" t="s">
        <v>10</v>
      </c>
      <c r="L55" s="36" t="s">
        <v>10</v>
      </c>
      <c r="M55" s="36">
        <f>M51/2000</f>
        <v>2.8032000000000004</v>
      </c>
    </row>
    <row r="56" spans="2:13">
      <c r="B56" t="s">
        <v>473</v>
      </c>
    </row>
    <row r="58" spans="2:13">
      <c r="G58" s="30" t="s">
        <v>498</v>
      </c>
    </row>
    <row r="59" spans="2:13">
      <c r="B59" s="266" t="s">
        <v>376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</row>
    <row r="60" spans="2:13">
      <c r="B60" s="35" t="s">
        <v>362</v>
      </c>
      <c r="C60" s="35" t="s">
        <v>330</v>
      </c>
      <c r="D60" s="35" t="s">
        <v>377</v>
      </c>
      <c r="E60" s="35" t="s">
        <v>378</v>
      </c>
      <c r="F60" s="34" t="s">
        <v>135</v>
      </c>
      <c r="G60" s="35" t="s">
        <v>146</v>
      </c>
      <c r="H60" s="35" t="s">
        <v>129</v>
      </c>
      <c r="I60" s="35" t="s">
        <v>120</v>
      </c>
      <c r="J60" s="35" t="s">
        <v>103</v>
      </c>
      <c r="K60" s="35" t="s">
        <v>379</v>
      </c>
      <c r="L60" s="35" t="s">
        <v>380</v>
      </c>
      <c r="M60" s="35" t="s">
        <v>230</v>
      </c>
    </row>
    <row r="61" spans="2:13">
      <c r="B61" s="36">
        <f>B47</f>
        <v>6.7</v>
      </c>
      <c r="C61" s="36">
        <f>C47</f>
        <v>6.7</v>
      </c>
      <c r="D61" s="36">
        <f>C61</f>
        <v>6.7</v>
      </c>
      <c r="E61" s="36">
        <f>E47</f>
        <v>11.8</v>
      </c>
      <c r="F61" s="33">
        <f>F47</f>
        <v>3</v>
      </c>
      <c r="G61" s="36">
        <f>G47</f>
        <v>40</v>
      </c>
      <c r="H61" s="36">
        <f>H47</f>
        <v>2.6</v>
      </c>
      <c r="I61" s="36" t="s">
        <v>10</v>
      </c>
      <c r="J61" s="36">
        <f>J47</f>
        <v>14</v>
      </c>
      <c r="K61" s="36" t="s">
        <v>10</v>
      </c>
      <c r="L61" s="36" t="s">
        <v>10</v>
      </c>
      <c r="M61" s="36">
        <f>M47</f>
        <v>0.64</v>
      </c>
    </row>
    <row r="62" spans="2:13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spans="2:13">
      <c r="B63" s="267" t="s">
        <v>381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</row>
    <row r="64" spans="2:13">
      <c r="B64" s="35" t="s">
        <v>362</v>
      </c>
      <c r="C64" s="35" t="s">
        <v>330</v>
      </c>
      <c r="D64" s="35" t="s">
        <v>377</v>
      </c>
      <c r="E64" s="35" t="s">
        <v>378</v>
      </c>
      <c r="F64" s="35" t="s">
        <v>135</v>
      </c>
      <c r="G64" s="35" t="s">
        <v>146</v>
      </c>
      <c r="H64" s="35" t="s">
        <v>129</v>
      </c>
      <c r="I64" s="35" t="s">
        <v>120</v>
      </c>
      <c r="J64" s="35" t="s">
        <v>103</v>
      </c>
      <c r="K64" s="35" t="s">
        <v>379</v>
      </c>
      <c r="L64" s="35" t="s">
        <v>382</v>
      </c>
      <c r="M64" s="35" t="s">
        <v>230</v>
      </c>
    </row>
    <row r="65" spans="2:13">
      <c r="B65" s="36">
        <f>B61*K14</f>
        <v>58692</v>
      </c>
      <c r="C65" s="36">
        <f>C61*K14</f>
        <v>58692</v>
      </c>
      <c r="D65" s="36">
        <f>D61*K14</f>
        <v>58692</v>
      </c>
      <c r="E65" s="36">
        <f>E61*K14</f>
        <v>103368</v>
      </c>
      <c r="F65" s="36">
        <f>F61*K14</f>
        <v>26280</v>
      </c>
      <c r="G65" s="36">
        <f>G61*K14</f>
        <v>350400</v>
      </c>
      <c r="H65" s="36">
        <f>H61*K14</f>
        <v>22776</v>
      </c>
      <c r="I65" s="36" t="s">
        <v>10</v>
      </c>
      <c r="J65" s="36">
        <f>J61*K14</f>
        <v>122640</v>
      </c>
      <c r="K65" s="36" t="s">
        <v>10</v>
      </c>
      <c r="L65" s="36" t="s">
        <v>10</v>
      </c>
      <c r="M65" s="36">
        <f>M61*K14</f>
        <v>5606.4000000000005</v>
      </c>
    </row>
    <row r="66" spans="2:13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spans="2:13">
      <c r="B67" s="267" t="s">
        <v>384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</row>
    <row r="68" spans="2:13">
      <c r="B68" s="35" t="s">
        <v>362</v>
      </c>
      <c r="C68" s="35" t="s">
        <v>330</v>
      </c>
      <c r="D68" s="35" t="s">
        <v>377</v>
      </c>
      <c r="E68" s="35" t="s">
        <v>378</v>
      </c>
      <c r="F68" s="34" t="s">
        <v>135</v>
      </c>
      <c r="G68" s="35" t="s">
        <v>146</v>
      </c>
      <c r="H68" s="35" t="s">
        <v>129</v>
      </c>
      <c r="I68" s="35" t="s">
        <v>120</v>
      </c>
      <c r="J68" s="35" t="s">
        <v>103</v>
      </c>
      <c r="K68" s="35" t="s">
        <v>379</v>
      </c>
      <c r="L68" s="35" t="s">
        <v>382</v>
      </c>
      <c r="M68" s="35" t="s">
        <v>230</v>
      </c>
    </row>
    <row r="69" spans="2:13">
      <c r="B69" s="36">
        <f>B65/2000</f>
        <v>29.346</v>
      </c>
      <c r="C69" s="36">
        <f t="shared" ref="C69:M69" si="2">C65/2000</f>
        <v>29.346</v>
      </c>
      <c r="D69" s="36">
        <f t="shared" si="2"/>
        <v>29.346</v>
      </c>
      <c r="E69" s="36">
        <f t="shared" si="2"/>
        <v>51.683999999999997</v>
      </c>
      <c r="F69" s="33">
        <v>12</v>
      </c>
      <c r="G69" s="36">
        <f t="shared" si="2"/>
        <v>175.2</v>
      </c>
      <c r="H69" s="36">
        <f t="shared" si="2"/>
        <v>11.388</v>
      </c>
      <c r="I69" s="36" t="s">
        <v>10</v>
      </c>
      <c r="J69" s="36">
        <f t="shared" si="2"/>
        <v>61.32</v>
      </c>
      <c r="K69" s="36" t="s">
        <v>10</v>
      </c>
      <c r="L69" s="36" t="s">
        <v>10</v>
      </c>
      <c r="M69" s="36">
        <f t="shared" si="2"/>
        <v>2.8032000000000004</v>
      </c>
    </row>
    <row r="70" spans="2:13">
      <c r="B70" s="92" t="s">
        <v>393</v>
      </c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spans="2:13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spans="2:13">
      <c r="B72" s="92"/>
      <c r="C72" s="92"/>
      <c r="D72" s="92"/>
      <c r="E72" s="92"/>
      <c r="F72" s="92"/>
      <c r="G72" s="93" t="s">
        <v>499</v>
      </c>
      <c r="H72" s="92"/>
      <c r="I72" s="92"/>
      <c r="J72" s="92"/>
      <c r="K72" s="92"/>
      <c r="L72" s="92"/>
      <c r="M72" s="92"/>
    </row>
    <row r="73" spans="2:13">
      <c r="B73" s="267" t="s">
        <v>376</v>
      </c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</row>
    <row r="74" spans="2:13">
      <c r="B74" s="35" t="s">
        <v>362</v>
      </c>
      <c r="C74" s="35" t="s">
        <v>330</v>
      </c>
      <c r="D74" s="35" t="s">
        <v>377</v>
      </c>
      <c r="E74" s="35" t="s">
        <v>378</v>
      </c>
      <c r="F74" s="34" t="s">
        <v>135</v>
      </c>
      <c r="G74" s="35" t="s">
        <v>146</v>
      </c>
      <c r="H74" s="35" t="s">
        <v>129</v>
      </c>
      <c r="I74" s="35" t="s">
        <v>120</v>
      </c>
      <c r="J74" s="35" t="s">
        <v>103</v>
      </c>
      <c r="K74" s="35" t="s">
        <v>379</v>
      </c>
      <c r="L74" s="35" t="s">
        <v>380</v>
      </c>
      <c r="M74" s="35" t="s">
        <v>230</v>
      </c>
    </row>
    <row r="75" spans="2:13">
      <c r="B75" s="36">
        <f>B47</f>
        <v>6.7</v>
      </c>
      <c r="C75" s="36">
        <f>C47</f>
        <v>6.7</v>
      </c>
      <c r="D75" s="36">
        <f>C75</f>
        <v>6.7</v>
      </c>
      <c r="E75" s="36">
        <f>E47</f>
        <v>11.8</v>
      </c>
      <c r="F75" s="33">
        <f>F47</f>
        <v>3</v>
      </c>
      <c r="G75" s="36">
        <f>G47</f>
        <v>40</v>
      </c>
      <c r="H75" s="36">
        <f>H47</f>
        <v>2.6</v>
      </c>
      <c r="I75" s="36" t="s">
        <v>10</v>
      </c>
      <c r="J75" s="36">
        <f>J47</f>
        <v>14</v>
      </c>
      <c r="K75" s="36" t="s">
        <v>10</v>
      </c>
      <c r="L75" s="36" t="s">
        <v>10</v>
      </c>
      <c r="M75" s="36">
        <f>M47</f>
        <v>0.64</v>
      </c>
    </row>
    <row r="76" spans="2:13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</row>
    <row r="77" spans="2:13">
      <c r="B77" s="267" t="s">
        <v>381</v>
      </c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</row>
    <row r="78" spans="2:13">
      <c r="B78" s="35" t="s">
        <v>362</v>
      </c>
      <c r="C78" s="35" t="s">
        <v>330</v>
      </c>
      <c r="D78" s="35" t="s">
        <v>377</v>
      </c>
      <c r="E78" s="35" t="s">
        <v>378</v>
      </c>
      <c r="F78" s="35" t="s">
        <v>135</v>
      </c>
      <c r="G78" s="35" t="s">
        <v>146</v>
      </c>
      <c r="H78" s="35" t="s">
        <v>129</v>
      </c>
      <c r="I78" s="35" t="s">
        <v>120</v>
      </c>
      <c r="J78" s="35" t="s">
        <v>103</v>
      </c>
      <c r="K78" s="35" t="s">
        <v>379</v>
      </c>
      <c r="L78" s="35" t="s">
        <v>382</v>
      </c>
      <c r="M78" s="35" t="s">
        <v>230</v>
      </c>
    </row>
    <row r="79" spans="2:13">
      <c r="B79" s="36">
        <f>B75*K15</f>
        <v>58692</v>
      </c>
      <c r="C79" s="36">
        <f>C75*K15</f>
        <v>58692</v>
      </c>
      <c r="D79" s="36">
        <f>D75*K15</f>
        <v>58692</v>
      </c>
      <c r="E79" s="36">
        <f>E75*K15</f>
        <v>103368</v>
      </c>
      <c r="F79" s="36">
        <f>F75*K15</f>
        <v>26280</v>
      </c>
      <c r="G79" s="36">
        <f>G75*K15</f>
        <v>350400</v>
      </c>
      <c r="H79" s="36">
        <f>H75*K15</f>
        <v>22776</v>
      </c>
      <c r="I79" s="36" t="s">
        <v>10</v>
      </c>
      <c r="J79" s="36">
        <f>J75*K15</f>
        <v>122640</v>
      </c>
      <c r="K79" s="36" t="s">
        <v>10</v>
      </c>
      <c r="L79" s="36" t="s">
        <v>10</v>
      </c>
      <c r="M79" s="36">
        <f>M75*K15</f>
        <v>5606.4000000000005</v>
      </c>
    </row>
    <row r="80" spans="2:13">
      <c r="B80" s="92"/>
      <c r="C80" s="92"/>
      <c r="D80" s="92"/>
      <c r="E80" s="92"/>
      <c r="F80" s="92"/>
      <c r="G80" s="92"/>
      <c r="H80" s="92"/>
      <c r="I80" s="92"/>
      <c r="J80" s="92" t="s">
        <v>383</v>
      </c>
      <c r="K80" s="92" t="s">
        <v>383</v>
      </c>
      <c r="L80" s="92"/>
      <c r="M80" s="92"/>
    </row>
    <row r="81" spans="2:13">
      <c r="B81" s="267" t="s">
        <v>384</v>
      </c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</row>
    <row r="82" spans="2:13">
      <c r="B82" s="35" t="s">
        <v>362</v>
      </c>
      <c r="C82" s="35" t="s">
        <v>330</v>
      </c>
      <c r="D82" s="35" t="s">
        <v>377</v>
      </c>
      <c r="E82" s="35" t="s">
        <v>378</v>
      </c>
      <c r="F82" s="34" t="s">
        <v>135</v>
      </c>
      <c r="G82" s="35" t="s">
        <v>146</v>
      </c>
      <c r="H82" s="35" t="s">
        <v>129</v>
      </c>
      <c r="I82" s="35" t="s">
        <v>120</v>
      </c>
      <c r="J82" s="35" t="s">
        <v>103</v>
      </c>
      <c r="K82" s="35" t="s">
        <v>379</v>
      </c>
      <c r="L82" s="35" t="s">
        <v>382</v>
      </c>
      <c r="M82" s="35" t="s">
        <v>230</v>
      </c>
    </row>
    <row r="83" spans="2:13">
      <c r="B83" s="36">
        <f>B79/2000</f>
        <v>29.346</v>
      </c>
      <c r="C83" s="36">
        <f t="shared" ref="C83:M83" si="3">C79/2000</f>
        <v>29.346</v>
      </c>
      <c r="D83" s="36">
        <f t="shared" si="3"/>
        <v>29.346</v>
      </c>
      <c r="E83" s="36">
        <f t="shared" si="3"/>
        <v>51.683999999999997</v>
      </c>
      <c r="F83" s="33">
        <v>12</v>
      </c>
      <c r="G83" s="36">
        <f t="shared" si="3"/>
        <v>175.2</v>
      </c>
      <c r="H83" s="36">
        <f t="shared" si="3"/>
        <v>11.388</v>
      </c>
      <c r="I83" s="36" t="s">
        <v>10</v>
      </c>
      <c r="J83" s="36">
        <f t="shared" si="3"/>
        <v>61.32</v>
      </c>
      <c r="K83" s="36" t="s">
        <v>10</v>
      </c>
      <c r="L83" s="36" t="s">
        <v>10</v>
      </c>
      <c r="M83" s="36">
        <f t="shared" si="3"/>
        <v>2.8032000000000004</v>
      </c>
    </row>
    <row r="84" spans="2:13">
      <c r="B84" t="s">
        <v>393</v>
      </c>
    </row>
    <row r="86" spans="2:13">
      <c r="B86" s="1" t="s">
        <v>503</v>
      </c>
    </row>
    <row r="87" spans="2:13">
      <c r="B87" s="1"/>
    </row>
    <row r="88" spans="2:13">
      <c r="B88" s="266" t="s">
        <v>456</v>
      </c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</row>
    <row r="89" spans="2:13">
      <c r="B89" s="35" t="s">
        <v>362</v>
      </c>
      <c r="C89" s="35" t="s">
        <v>330</v>
      </c>
      <c r="D89" s="35" t="s">
        <v>377</v>
      </c>
      <c r="E89" s="35" t="s">
        <v>378</v>
      </c>
      <c r="F89" s="35" t="s">
        <v>135</v>
      </c>
      <c r="G89" s="35" t="s">
        <v>146</v>
      </c>
      <c r="H89" s="35" t="s">
        <v>129</v>
      </c>
      <c r="I89" s="35" t="s">
        <v>120</v>
      </c>
      <c r="J89" s="35" t="s">
        <v>103</v>
      </c>
      <c r="K89" s="35" t="s">
        <v>379</v>
      </c>
      <c r="L89" s="35" t="s">
        <v>382</v>
      </c>
      <c r="M89" s="35" t="s">
        <v>230</v>
      </c>
    </row>
    <row r="90" spans="2:13">
      <c r="B90" s="94">
        <f>B41+B55+B69+B83</f>
        <v>88.366500000000002</v>
      </c>
      <c r="C90" s="94">
        <f t="shared" ref="B90:H90" si="4">C41+C55+C69+C83</f>
        <v>88.366500000000002</v>
      </c>
      <c r="D90" s="94">
        <f t="shared" si="4"/>
        <v>88.366500000000002</v>
      </c>
      <c r="E90" s="94">
        <f>E41+E55+E69+E83</f>
        <v>200.91059999999999</v>
      </c>
      <c r="F90" s="94">
        <f t="shared" si="4"/>
        <v>38.019179999999999</v>
      </c>
      <c r="G90" s="94">
        <f t="shared" si="4"/>
        <v>533.3744999999999</v>
      </c>
      <c r="H90" s="19">
        <f t="shared" si="4"/>
        <v>47.960999999999999</v>
      </c>
      <c r="I90" s="36" t="s">
        <v>10</v>
      </c>
      <c r="J90" s="19">
        <f>J55+J69+J83</f>
        <v>183.96</v>
      </c>
      <c r="K90" s="36" t="s">
        <v>10</v>
      </c>
      <c r="L90" s="19">
        <f>L41</f>
        <v>9.1979999999999991E-4</v>
      </c>
      <c r="M90" s="19">
        <f>M41+M55+M69+M83</f>
        <v>8.4280000000000008</v>
      </c>
    </row>
    <row r="93" spans="2:13">
      <c r="B93" s="1" t="s">
        <v>504</v>
      </c>
    </row>
    <row r="94" spans="2:13">
      <c r="G94" s="1" t="s">
        <v>387</v>
      </c>
    </row>
    <row r="95" spans="2:13" ht="22.95" customHeight="1">
      <c r="G95" s="251" t="s">
        <v>495</v>
      </c>
      <c r="H95" s="252"/>
      <c r="I95" s="251" t="s">
        <v>496</v>
      </c>
      <c r="J95" s="252"/>
      <c r="K95" s="158"/>
    </row>
    <row r="96" spans="2:13">
      <c r="G96" s="253"/>
      <c r="H96" s="254"/>
      <c r="I96" s="253"/>
      <c r="J96" s="254"/>
      <c r="K96" s="158"/>
    </row>
    <row r="97" spans="2:11">
      <c r="G97" s="159" t="s">
        <v>55</v>
      </c>
      <c r="H97" s="160" t="s">
        <v>79</v>
      </c>
      <c r="I97" s="159" t="s">
        <v>55</v>
      </c>
      <c r="J97" s="160" t="s">
        <v>79</v>
      </c>
      <c r="K97" s="158"/>
    </row>
    <row r="98" spans="2:11">
      <c r="B98" s="257" t="s">
        <v>486</v>
      </c>
      <c r="C98" s="258"/>
      <c r="D98" s="258"/>
      <c r="E98" s="258"/>
      <c r="F98" s="259"/>
      <c r="G98" s="223">
        <f>SUM(G99:G113)</f>
        <v>0.47578500000000001</v>
      </c>
      <c r="H98" s="223">
        <f>SUM(H99:H113)</f>
        <v>0.10419691500000001</v>
      </c>
      <c r="I98" s="133" t="s">
        <v>10</v>
      </c>
      <c r="J98" s="134" t="s">
        <v>10</v>
      </c>
    </row>
    <row r="99" spans="2:11">
      <c r="B99" s="161" t="s">
        <v>148</v>
      </c>
      <c r="C99" s="136">
        <v>1.5999999999999999E-5</v>
      </c>
      <c r="D99" s="137" t="s">
        <v>479</v>
      </c>
      <c r="E99" s="138" t="s">
        <v>480</v>
      </c>
      <c r="F99" s="138"/>
      <c r="G99" s="224">
        <f>C99*$G$12</f>
        <v>4.7999999999999996E-3</v>
      </c>
      <c r="H99" s="224">
        <f>$G99*8760/2000*0.05</f>
        <v>1.0512E-3</v>
      </c>
      <c r="I99" s="132" t="s">
        <v>10</v>
      </c>
      <c r="J99" s="162" t="s">
        <v>10</v>
      </c>
    </row>
    <row r="100" spans="2:11">
      <c r="B100" s="161" t="s">
        <v>182</v>
      </c>
      <c r="C100" s="136">
        <v>5.5000000000000002E-5</v>
      </c>
      <c r="D100" s="137" t="s">
        <v>479</v>
      </c>
      <c r="E100" s="138" t="s">
        <v>480</v>
      </c>
      <c r="F100" s="138"/>
      <c r="G100" s="224">
        <f>C100*$G$12</f>
        <v>1.6500000000000001E-2</v>
      </c>
      <c r="H100" s="224">
        <f t="shared" ref="H100:H113" si="5">$G100*8760/2000*0.05</f>
        <v>3.6135000000000008E-3</v>
      </c>
      <c r="I100" s="132" t="s">
        <v>10</v>
      </c>
      <c r="J100" s="162" t="s">
        <v>10</v>
      </c>
    </row>
    <row r="101" spans="2:11">
      <c r="B101" s="161" t="s">
        <v>230</v>
      </c>
      <c r="C101" s="136">
        <v>2.7999999999999998E-4</v>
      </c>
      <c r="D101" s="137" t="s">
        <v>479</v>
      </c>
      <c r="E101" s="138" t="s">
        <v>480</v>
      </c>
      <c r="F101" s="139"/>
      <c r="G101" s="224">
        <f>C101*$G$12</f>
        <v>8.3999999999999991E-2</v>
      </c>
      <c r="H101" s="224">
        <f t="shared" si="5"/>
        <v>1.8395999999999999E-2</v>
      </c>
      <c r="I101" s="132" t="s">
        <v>10</v>
      </c>
      <c r="J101" s="162" t="s">
        <v>10</v>
      </c>
    </row>
    <row r="102" spans="2:11">
      <c r="B102" s="161" t="s">
        <v>264</v>
      </c>
      <c r="C102" s="136">
        <v>3.4999999999999997E-5</v>
      </c>
      <c r="D102" s="137" t="s">
        <v>479</v>
      </c>
      <c r="E102" s="138" t="s">
        <v>480</v>
      </c>
      <c r="F102" s="137"/>
      <c r="G102" s="224">
        <f>C102*$G$12</f>
        <v>1.0499999999999999E-2</v>
      </c>
      <c r="H102" s="224">
        <f t="shared" si="5"/>
        <v>2.2994999999999999E-3</v>
      </c>
      <c r="I102" s="132" t="s">
        <v>10</v>
      </c>
      <c r="J102" s="162" t="s">
        <v>10</v>
      </c>
    </row>
    <row r="103" spans="2:11">
      <c r="B103" s="161" t="s">
        <v>481</v>
      </c>
      <c r="C103" s="136">
        <f>0.00004-C102</f>
        <v>5.0000000000000063E-6</v>
      </c>
      <c r="D103" s="137" t="s">
        <v>479</v>
      </c>
      <c r="E103" s="138" t="s">
        <v>480</v>
      </c>
      <c r="F103" s="137"/>
      <c r="G103" s="224">
        <f>C103*$G$12</f>
        <v>1.500000000000002E-3</v>
      </c>
      <c r="H103" s="224">
        <f t="shared" si="5"/>
        <v>3.2850000000000045E-4</v>
      </c>
      <c r="I103" s="132" t="s">
        <v>10</v>
      </c>
      <c r="J103" s="162" t="s">
        <v>10</v>
      </c>
    </row>
    <row r="104" spans="2:11" ht="28.8">
      <c r="B104" s="161" t="s">
        <v>482</v>
      </c>
      <c r="C104" s="136">
        <v>4.5999999999999999E-2</v>
      </c>
      <c r="D104" s="137" t="s">
        <v>483</v>
      </c>
      <c r="E104" s="140" t="s">
        <v>508</v>
      </c>
      <c r="F104" s="139" t="s">
        <v>484</v>
      </c>
      <c r="G104" s="224">
        <f>C104*2172/1000</f>
        <v>9.9911999999999987E-2</v>
      </c>
      <c r="H104" s="224">
        <f t="shared" si="5"/>
        <v>2.1880727999999999E-2</v>
      </c>
      <c r="I104" s="132" t="s">
        <v>10</v>
      </c>
      <c r="J104" s="162" t="s">
        <v>10</v>
      </c>
    </row>
    <row r="105" spans="2:11">
      <c r="B105" s="163" t="s">
        <v>180</v>
      </c>
      <c r="C105" s="141">
        <v>1.1E-5</v>
      </c>
      <c r="D105" s="38" t="s">
        <v>479</v>
      </c>
      <c r="E105" s="38" t="s">
        <v>485</v>
      </c>
      <c r="F105" s="38"/>
      <c r="G105" s="224">
        <f t="shared" ref="G105:G113" si="6">C105*$G$12</f>
        <v>3.3E-3</v>
      </c>
      <c r="H105" s="224">
        <f t="shared" si="5"/>
        <v>7.2270000000000006E-4</v>
      </c>
      <c r="I105" s="135" t="s">
        <v>10</v>
      </c>
      <c r="J105" s="135" t="s">
        <v>10</v>
      </c>
    </row>
    <row r="106" spans="2:11">
      <c r="B106" s="163" t="s">
        <v>186</v>
      </c>
      <c r="C106" s="141">
        <v>3.1E-7</v>
      </c>
      <c r="D106" s="38" t="s">
        <v>479</v>
      </c>
      <c r="E106" s="38" t="s">
        <v>485</v>
      </c>
      <c r="F106" s="38"/>
      <c r="G106" s="224">
        <f t="shared" si="6"/>
        <v>9.2999999999999997E-5</v>
      </c>
      <c r="H106" s="224">
        <f t="shared" si="5"/>
        <v>2.0367E-5</v>
      </c>
      <c r="I106" s="135" t="s">
        <v>10</v>
      </c>
      <c r="J106" s="135" t="s">
        <v>10</v>
      </c>
    </row>
    <row r="107" spans="2:11">
      <c r="B107" s="163" t="s">
        <v>198</v>
      </c>
      <c r="C107" s="141">
        <v>4.7999999999999998E-6</v>
      </c>
      <c r="D107" s="38" t="s">
        <v>479</v>
      </c>
      <c r="E107" s="38" t="s">
        <v>485</v>
      </c>
      <c r="F107" s="38"/>
      <c r="G107" s="224">
        <f t="shared" si="6"/>
        <v>1.4399999999999999E-3</v>
      </c>
      <c r="H107" s="224">
        <f t="shared" si="5"/>
        <v>3.1535999999999999E-4</v>
      </c>
      <c r="I107" s="135" t="s">
        <v>10</v>
      </c>
      <c r="J107" s="135" t="s">
        <v>10</v>
      </c>
    </row>
    <row r="108" spans="2:11">
      <c r="B108" s="163" t="s">
        <v>206</v>
      </c>
      <c r="C108" s="141">
        <v>1.1E-5</v>
      </c>
      <c r="D108" s="38" t="s">
        <v>479</v>
      </c>
      <c r="E108" s="38" t="s">
        <v>485</v>
      </c>
      <c r="F108" s="38"/>
      <c r="G108" s="224">
        <f t="shared" si="6"/>
        <v>3.3E-3</v>
      </c>
      <c r="H108" s="224">
        <f t="shared" si="5"/>
        <v>7.2270000000000006E-4</v>
      </c>
      <c r="I108" s="135" t="s">
        <v>10</v>
      </c>
      <c r="J108" s="135" t="s">
        <v>10</v>
      </c>
    </row>
    <row r="109" spans="2:11">
      <c r="B109" s="163" t="s">
        <v>244</v>
      </c>
      <c r="C109" s="141">
        <v>1.4E-5</v>
      </c>
      <c r="D109" s="38" t="s">
        <v>479</v>
      </c>
      <c r="E109" s="38" t="s">
        <v>485</v>
      </c>
      <c r="F109" s="38"/>
      <c r="G109" s="224">
        <f t="shared" si="6"/>
        <v>4.1999999999999997E-3</v>
      </c>
      <c r="H109" s="224">
        <f t="shared" si="5"/>
        <v>9.1979999999999981E-4</v>
      </c>
      <c r="I109" s="135" t="s">
        <v>10</v>
      </c>
      <c r="J109" s="135" t="s">
        <v>10</v>
      </c>
    </row>
    <row r="110" spans="2:11">
      <c r="B110" s="163" t="s">
        <v>246</v>
      </c>
      <c r="C110" s="141">
        <v>7.9000000000000001E-4</v>
      </c>
      <c r="D110" s="38" t="s">
        <v>479</v>
      </c>
      <c r="E110" s="38" t="s">
        <v>485</v>
      </c>
      <c r="F110" s="38"/>
      <c r="G110" s="224">
        <f t="shared" si="6"/>
        <v>0.23700000000000002</v>
      </c>
      <c r="H110" s="224">
        <f t="shared" si="5"/>
        <v>5.1903000000000012E-2</v>
      </c>
      <c r="I110" s="135" t="s">
        <v>10</v>
      </c>
      <c r="J110" s="135" t="s">
        <v>10</v>
      </c>
    </row>
    <row r="111" spans="2:11">
      <c r="B111" s="163" t="s">
        <v>249</v>
      </c>
      <c r="C111" s="141">
        <v>1.1999999999999999E-6</v>
      </c>
      <c r="D111" s="38" t="s">
        <v>479</v>
      </c>
      <c r="E111" s="38" t="s">
        <v>485</v>
      </c>
      <c r="F111" s="38"/>
      <c r="G111" s="224">
        <f t="shared" si="6"/>
        <v>3.5999999999999997E-4</v>
      </c>
      <c r="H111" s="224">
        <f t="shared" si="5"/>
        <v>7.8839999999999997E-5</v>
      </c>
      <c r="I111" s="135" t="s">
        <v>10</v>
      </c>
      <c r="J111" s="135" t="s">
        <v>10</v>
      </c>
    </row>
    <row r="112" spans="2:11">
      <c r="B112" s="163" t="s">
        <v>266</v>
      </c>
      <c r="C112" s="141">
        <v>4.6E-6</v>
      </c>
      <c r="D112" s="38" t="s">
        <v>479</v>
      </c>
      <c r="E112" s="38" t="s">
        <v>485</v>
      </c>
      <c r="F112" s="38"/>
      <c r="G112" s="224">
        <f t="shared" si="6"/>
        <v>1.3799999999999999E-3</v>
      </c>
      <c r="H112" s="224">
        <f t="shared" si="5"/>
        <v>3.0221999999999996E-4</v>
      </c>
      <c r="I112" s="135" t="s">
        <v>10</v>
      </c>
      <c r="J112" s="135" t="s">
        <v>10</v>
      </c>
    </row>
    <row r="113" spans="2:14">
      <c r="B113" s="163" t="s">
        <v>275</v>
      </c>
      <c r="C113" s="141">
        <v>2.5000000000000001E-5</v>
      </c>
      <c r="D113" s="38" t="s">
        <v>479</v>
      </c>
      <c r="E113" s="38" t="s">
        <v>485</v>
      </c>
      <c r="F113" s="38"/>
      <c r="G113" s="224">
        <f t="shared" si="6"/>
        <v>7.5000000000000006E-3</v>
      </c>
      <c r="H113" s="224">
        <f t="shared" si="5"/>
        <v>1.6425000000000003E-3</v>
      </c>
      <c r="I113" s="135" t="s">
        <v>10</v>
      </c>
      <c r="J113" s="135" t="s">
        <v>10</v>
      </c>
    </row>
    <row r="114" spans="2:14" ht="16.2">
      <c r="B114" s="142" t="s">
        <v>509</v>
      </c>
      <c r="C114" s="143"/>
      <c r="D114" s="2"/>
      <c r="E114" s="2"/>
      <c r="F114" s="2"/>
      <c r="I114" s="119"/>
      <c r="J114" s="119"/>
    </row>
    <row r="115" spans="2:14">
      <c r="B115" s="116"/>
      <c r="C115" s="117"/>
      <c r="D115" s="118"/>
      <c r="E115" s="118"/>
      <c r="F115" s="118"/>
      <c r="I115" s="119"/>
      <c r="J115" s="119"/>
    </row>
    <row r="116" spans="2:14">
      <c r="B116" s="116"/>
      <c r="C116" s="117"/>
      <c r="D116" s="118"/>
      <c r="E116" s="118"/>
      <c r="F116" s="118"/>
      <c r="I116" s="119"/>
      <c r="J116" s="119"/>
    </row>
    <row r="117" spans="2:14">
      <c r="B117" s="116"/>
      <c r="C117" s="117"/>
      <c r="D117" s="118"/>
      <c r="E117" s="118"/>
      <c r="F117" s="118"/>
      <c r="G117" s="1" t="s">
        <v>500</v>
      </c>
    </row>
    <row r="118" spans="2:14">
      <c r="G118" s="247" t="s">
        <v>490</v>
      </c>
      <c r="H118" s="260"/>
      <c r="I118" s="247" t="s">
        <v>490</v>
      </c>
      <c r="J118" s="248"/>
      <c r="K118" s="260" t="s">
        <v>491</v>
      </c>
      <c r="L118" s="248"/>
      <c r="M118" s="247" t="s">
        <v>492</v>
      </c>
      <c r="N118" s="248"/>
    </row>
    <row r="119" spans="2:14">
      <c r="G119" s="249"/>
      <c r="H119" s="261"/>
      <c r="I119" s="249"/>
      <c r="J119" s="250"/>
      <c r="K119" s="261"/>
      <c r="L119" s="250"/>
      <c r="M119" s="249"/>
      <c r="N119" s="250"/>
    </row>
    <row r="120" spans="2:14">
      <c r="G120" s="165" t="s">
        <v>55</v>
      </c>
      <c r="H120" s="166" t="s">
        <v>79</v>
      </c>
      <c r="I120" s="165" t="s">
        <v>55</v>
      </c>
      <c r="J120" s="167" t="s">
        <v>79</v>
      </c>
      <c r="K120" s="164" t="s">
        <v>55</v>
      </c>
      <c r="L120" s="167" t="s">
        <v>79</v>
      </c>
      <c r="M120" s="165" t="s">
        <v>493</v>
      </c>
      <c r="N120" s="167" t="s">
        <v>494</v>
      </c>
    </row>
    <row r="121" spans="2:14">
      <c r="B121" s="255" t="s">
        <v>486</v>
      </c>
      <c r="C121" s="256"/>
      <c r="D121" s="256"/>
      <c r="E121" s="256"/>
      <c r="F121" s="256"/>
      <c r="G121" s="225">
        <f>SUM(G122:G132)</f>
        <v>0.93011554000000007</v>
      </c>
      <c r="H121" s="225">
        <f>SUM(H122:H132)</f>
        <v>4.073906065200001</v>
      </c>
      <c r="I121" s="225">
        <f t="shared" ref="I121:L121" si="7">SUM(I122:I132)</f>
        <v>0.93011554000000007</v>
      </c>
      <c r="J121" s="225">
        <f t="shared" si="7"/>
        <v>4.073906065200001</v>
      </c>
      <c r="K121" s="225">
        <f t="shared" si="7"/>
        <v>0.93011554000000007</v>
      </c>
      <c r="L121" s="225">
        <f t="shared" si="7"/>
        <v>4.073906065200001</v>
      </c>
      <c r="M121" s="144" t="s">
        <v>10</v>
      </c>
      <c r="N121" s="100" t="s">
        <v>10</v>
      </c>
    </row>
    <row r="122" spans="2:14">
      <c r="B122" s="161" t="s">
        <v>148</v>
      </c>
      <c r="C122" s="136">
        <v>4.3000000000000001E-7</v>
      </c>
      <c r="D122" s="137" t="s">
        <v>479</v>
      </c>
      <c r="E122" s="138" t="s">
        <v>487</v>
      </c>
      <c r="F122" s="138"/>
      <c r="G122" s="224">
        <f t="shared" ref="G122:G132" si="8">$C122*$G$13</f>
        <v>3.9474000000000003E-4</v>
      </c>
      <c r="H122" s="224">
        <f>G122*8760/2000</f>
        <v>1.7289612000000001E-3</v>
      </c>
      <c r="I122" s="224">
        <f t="shared" ref="I122:I132" si="9">$C122*$G$13</f>
        <v>3.9474000000000003E-4</v>
      </c>
      <c r="J122" s="224">
        <f>I122*8760/2000</f>
        <v>1.7289612000000001E-3</v>
      </c>
      <c r="K122" s="224">
        <f t="shared" ref="K122:K132" si="10">$C122*$G$13</f>
        <v>3.9474000000000003E-4</v>
      </c>
      <c r="L122" s="224">
        <f>K122*8760/2000</f>
        <v>1.7289612000000001E-3</v>
      </c>
      <c r="M122" s="144" t="s">
        <v>10</v>
      </c>
      <c r="N122" s="100" t="s">
        <v>10</v>
      </c>
    </row>
    <row r="123" spans="2:14">
      <c r="B123" s="161" t="s">
        <v>166</v>
      </c>
      <c r="C123" s="136">
        <v>4.0000000000000003E-5</v>
      </c>
      <c r="D123" s="137" t="s">
        <v>479</v>
      </c>
      <c r="E123" s="138" t="s">
        <v>487</v>
      </c>
      <c r="F123" s="145"/>
      <c r="G123" s="224">
        <f t="shared" si="8"/>
        <v>3.6720000000000003E-2</v>
      </c>
      <c r="H123" s="224">
        <f t="shared" ref="H123:H131" si="11">G123*8760/2000</f>
        <v>0.16083360000000002</v>
      </c>
      <c r="I123" s="224">
        <f t="shared" si="9"/>
        <v>3.6720000000000003E-2</v>
      </c>
      <c r="J123" s="224">
        <f t="shared" ref="J123:J132" si="12">I123*8760/2000</f>
        <v>0.16083360000000002</v>
      </c>
      <c r="K123" s="224">
        <f t="shared" si="10"/>
        <v>3.6720000000000003E-2</v>
      </c>
      <c r="L123" s="224">
        <f t="shared" ref="L123:L132" si="13">K123*8760/2000</f>
        <v>0.16083360000000002</v>
      </c>
      <c r="M123" s="144" t="s">
        <v>10</v>
      </c>
      <c r="N123" s="100" t="s">
        <v>10</v>
      </c>
    </row>
    <row r="124" spans="2:14">
      <c r="B124" s="161" t="s">
        <v>174</v>
      </c>
      <c r="C124" s="136">
        <v>6.3999999999999997E-6</v>
      </c>
      <c r="D124" s="137" t="s">
        <v>479</v>
      </c>
      <c r="E124" s="138" t="s">
        <v>487</v>
      </c>
      <c r="F124" s="145"/>
      <c r="G124" s="224">
        <f t="shared" si="8"/>
        <v>5.8751999999999997E-3</v>
      </c>
      <c r="H124" s="224">
        <f t="shared" si="11"/>
        <v>2.5733375999999999E-2</v>
      </c>
      <c r="I124" s="224">
        <f t="shared" si="9"/>
        <v>5.8751999999999997E-3</v>
      </c>
      <c r="J124" s="224">
        <f t="shared" si="12"/>
        <v>2.5733375999999999E-2</v>
      </c>
      <c r="K124" s="224">
        <f t="shared" si="10"/>
        <v>5.8751999999999997E-3</v>
      </c>
      <c r="L124" s="224">
        <f t="shared" si="13"/>
        <v>2.5733375999999999E-2</v>
      </c>
      <c r="M124" s="144" t="s">
        <v>10</v>
      </c>
      <c r="N124" s="100" t="s">
        <v>10</v>
      </c>
    </row>
    <row r="125" spans="2:14">
      <c r="B125" s="161" t="s">
        <v>182</v>
      </c>
      <c r="C125" s="136">
        <v>1.2E-5</v>
      </c>
      <c r="D125" s="137" t="s">
        <v>479</v>
      </c>
      <c r="E125" s="138" t="s">
        <v>487</v>
      </c>
      <c r="F125" s="145"/>
      <c r="G125" s="224">
        <f t="shared" si="8"/>
        <v>1.1016E-2</v>
      </c>
      <c r="H125" s="224">
        <f t="shared" si="11"/>
        <v>4.8250079999999994E-2</v>
      </c>
      <c r="I125" s="224">
        <f t="shared" si="9"/>
        <v>1.1016E-2</v>
      </c>
      <c r="J125" s="224">
        <f t="shared" si="12"/>
        <v>4.8250079999999994E-2</v>
      </c>
      <c r="K125" s="224">
        <f t="shared" si="10"/>
        <v>1.1016E-2</v>
      </c>
      <c r="L125" s="224">
        <f t="shared" si="13"/>
        <v>4.8250079999999994E-2</v>
      </c>
      <c r="M125" s="144" t="s">
        <v>10</v>
      </c>
      <c r="N125" s="100" t="s">
        <v>10</v>
      </c>
    </row>
    <row r="126" spans="2:14">
      <c r="B126" s="161" t="s">
        <v>219</v>
      </c>
      <c r="C126" s="136">
        <v>3.1999999999999999E-5</v>
      </c>
      <c r="D126" s="137" t="s">
        <v>479</v>
      </c>
      <c r="E126" s="138" t="s">
        <v>487</v>
      </c>
      <c r="F126" s="145"/>
      <c r="G126" s="224">
        <f t="shared" si="8"/>
        <v>2.9375999999999999E-2</v>
      </c>
      <c r="H126" s="224">
        <f t="shared" si="11"/>
        <v>0.12866687999999998</v>
      </c>
      <c r="I126" s="224">
        <f t="shared" si="9"/>
        <v>2.9375999999999999E-2</v>
      </c>
      <c r="J126" s="224">
        <f t="shared" si="12"/>
        <v>0.12866687999999998</v>
      </c>
      <c r="K126" s="224">
        <f t="shared" si="10"/>
        <v>2.9375999999999999E-2</v>
      </c>
      <c r="L126" s="224">
        <f t="shared" si="13"/>
        <v>0.12866687999999998</v>
      </c>
      <c r="M126" s="144" t="s">
        <v>10</v>
      </c>
      <c r="N126" s="100" t="s">
        <v>10</v>
      </c>
    </row>
    <row r="127" spans="2:14" ht="43.2">
      <c r="B127" s="161" t="s">
        <v>230</v>
      </c>
      <c r="C127" s="145">
        <f>M127/G13</f>
        <v>6.9716775599128547E-4</v>
      </c>
      <c r="D127" s="137" t="s">
        <v>479</v>
      </c>
      <c r="E127" s="146" t="s">
        <v>488</v>
      </c>
      <c r="F127" s="139" t="s">
        <v>489</v>
      </c>
      <c r="G127" s="224">
        <f t="shared" si="8"/>
        <v>0.64</v>
      </c>
      <c r="H127" s="224">
        <f t="shared" si="11"/>
        <v>2.8032000000000004</v>
      </c>
      <c r="I127" s="224">
        <f t="shared" si="9"/>
        <v>0.64</v>
      </c>
      <c r="J127" s="224">
        <f t="shared" si="12"/>
        <v>2.8032000000000004</v>
      </c>
      <c r="K127" s="224">
        <f t="shared" si="10"/>
        <v>0.64</v>
      </c>
      <c r="L127" s="224">
        <f t="shared" si="13"/>
        <v>2.8032000000000004</v>
      </c>
      <c r="M127" s="147">
        <v>0.64</v>
      </c>
      <c r="N127" s="144">
        <v>2.8</v>
      </c>
    </row>
    <row r="128" spans="2:14">
      <c r="B128" s="161" t="s">
        <v>264</v>
      </c>
      <c r="C128" s="136">
        <v>1.3E-6</v>
      </c>
      <c r="D128" s="137" t="s">
        <v>479</v>
      </c>
      <c r="E128" s="138" t="s">
        <v>487</v>
      </c>
      <c r="F128" s="137"/>
      <c r="G128" s="224">
        <f t="shared" si="8"/>
        <v>1.1934000000000001E-3</v>
      </c>
      <c r="H128" s="224">
        <f t="shared" si="11"/>
        <v>5.227092E-3</v>
      </c>
      <c r="I128" s="224">
        <f t="shared" si="9"/>
        <v>1.1934000000000001E-3</v>
      </c>
      <c r="J128" s="224">
        <f t="shared" si="12"/>
        <v>5.227092E-3</v>
      </c>
      <c r="K128" s="224">
        <f t="shared" si="10"/>
        <v>1.1934000000000001E-3</v>
      </c>
      <c r="L128" s="224">
        <f t="shared" si="13"/>
        <v>5.227092E-3</v>
      </c>
      <c r="M128" s="144" t="s">
        <v>10</v>
      </c>
      <c r="N128" s="100" t="s">
        <v>10</v>
      </c>
    </row>
    <row r="129" spans="2:14">
      <c r="B129" s="161" t="s">
        <v>481</v>
      </c>
      <c r="C129" s="136">
        <f>0.0000022-C128</f>
        <v>9.0000000000000007E-7</v>
      </c>
      <c r="D129" s="137" t="s">
        <v>479</v>
      </c>
      <c r="E129" s="138" t="s">
        <v>487</v>
      </c>
      <c r="F129" s="137"/>
      <c r="G129" s="224">
        <f t="shared" si="8"/>
        <v>8.2620000000000002E-4</v>
      </c>
      <c r="H129" s="224">
        <f t="shared" si="11"/>
        <v>3.6187560000000003E-3</v>
      </c>
      <c r="I129" s="224">
        <f t="shared" si="9"/>
        <v>8.2620000000000002E-4</v>
      </c>
      <c r="J129" s="224">
        <f t="shared" si="12"/>
        <v>3.6187560000000003E-3</v>
      </c>
      <c r="K129" s="224">
        <f t="shared" si="10"/>
        <v>8.2620000000000002E-4</v>
      </c>
      <c r="L129" s="224">
        <f t="shared" si="13"/>
        <v>3.6187560000000003E-3</v>
      </c>
      <c r="M129" s="144" t="s">
        <v>10</v>
      </c>
      <c r="N129" s="100" t="s">
        <v>10</v>
      </c>
    </row>
    <row r="130" spans="2:14">
      <c r="B130" s="161" t="s">
        <v>273</v>
      </c>
      <c r="C130" s="136">
        <v>2.9E-5</v>
      </c>
      <c r="D130" s="137" t="s">
        <v>479</v>
      </c>
      <c r="E130" s="138" t="s">
        <v>487</v>
      </c>
      <c r="F130" s="137"/>
      <c r="G130" s="224">
        <f t="shared" si="8"/>
        <v>2.6622E-2</v>
      </c>
      <c r="H130" s="224">
        <f t="shared" si="11"/>
        <v>0.11660436</v>
      </c>
      <c r="I130" s="224">
        <f t="shared" si="9"/>
        <v>2.6622E-2</v>
      </c>
      <c r="J130" s="224">
        <f t="shared" si="12"/>
        <v>0.11660436</v>
      </c>
      <c r="K130" s="224">
        <f t="shared" si="10"/>
        <v>2.6622E-2</v>
      </c>
      <c r="L130" s="224">
        <f t="shared" si="13"/>
        <v>0.11660436</v>
      </c>
      <c r="M130" s="144" t="s">
        <v>10</v>
      </c>
      <c r="N130" s="100" t="s">
        <v>10</v>
      </c>
    </row>
    <row r="131" spans="2:14">
      <c r="B131" s="161" t="s">
        <v>281</v>
      </c>
      <c r="C131" s="136">
        <v>1.2999999999999999E-4</v>
      </c>
      <c r="D131" s="137" t="s">
        <v>479</v>
      </c>
      <c r="E131" s="138" t="s">
        <v>487</v>
      </c>
      <c r="F131" s="137"/>
      <c r="G131" s="224">
        <f t="shared" si="8"/>
        <v>0.11933999999999999</v>
      </c>
      <c r="H131" s="224">
        <f t="shared" si="11"/>
        <v>0.52270919999999987</v>
      </c>
      <c r="I131" s="224">
        <f t="shared" si="9"/>
        <v>0.11933999999999999</v>
      </c>
      <c r="J131" s="224">
        <f t="shared" si="12"/>
        <v>0.52270919999999987</v>
      </c>
      <c r="K131" s="224">
        <f t="shared" si="10"/>
        <v>0.11933999999999999</v>
      </c>
      <c r="L131" s="224">
        <f t="shared" si="13"/>
        <v>0.52270919999999987</v>
      </c>
      <c r="M131" s="144" t="s">
        <v>10</v>
      </c>
      <c r="N131" s="100" t="s">
        <v>10</v>
      </c>
    </row>
    <row r="132" spans="2:14">
      <c r="B132" s="161" t="s">
        <v>285</v>
      </c>
      <c r="C132" s="136">
        <v>6.3999999999999997E-5</v>
      </c>
      <c r="D132" s="137" t="s">
        <v>479</v>
      </c>
      <c r="E132" s="138" t="s">
        <v>487</v>
      </c>
      <c r="F132" s="137"/>
      <c r="G132" s="224">
        <f t="shared" si="8"/>
        <v>5.8751999999999999E-2</v>
      </c>
      <c r="H132" s="224">
        <f>G132*8760/2000</f>
        <v>0.25733375999999997</v>
      </c>
      <c r="I132" s="224">
        <f t="shared" si="9"/>
        <v>5.8751999999999999E-2</v>
      </c>
      <c r="J132" s="224">
        <f t="shared" si="12"/>
        <v>0.25733375999999997</v>
      </c>
      <c r="K132" s="224">
        <f t="shared" si="10"/>
        <v>5.8751999999999999E-2</v>
      </c>
      <c r="L132" s="224">
        <f t="shared" si="13"/>
        <v>0.25733375999999997</v>
      </c>
      <c r="M132" s="144" t="s">
        <v>10</v>
      </c>
      <c r="N132" s="100" t="s">
        <v>10</v>
      </c>
    </row>
    <row r="133" spans="2:14">
      <c r="G133" s="104"/>
      <c r="H133" s="104"/>
    </row>
  </sheetData>
  <mergeCells count="38">
    <mergeCell ref="B88:M88"/>
    <mergeCell ref="B39:M39"/>
    <mergeCell ref="B45:M45"/>
    <mergeCell ref="E9:E11"/>
    <mergeCell ref="B77:M77"/>
    <mergeCell ref="B81:M81"/>
    <mergeCell ref="B49:M49"/>
    <mergeCell ref="B53:M53"/>
    <mergeCell ref="B59:M59"/>
    <mergeCell ref="B63:M63"/>
    <mergeCell ref="B67:M67"/>
    <mergeCell ref="B73:M73"/>
    <mergeCell ref="B9:B11"/>
    <mergeCell ref="B31:M31"/>
    <mergeCell ref="B35:M35"/>
    <mergeCell ref="L9:L11"/>
    <mergeCell ref="M9:M11"/>
    <mergeCell ref="I9:I11"/>
    <mergeCell ref="B19:M19"/>
    <mergeCell ref="B24:M24"/>
    <mergeCell ref="C9:D11"/>
    <mergeCell ref="C12:D12"/>
    <mergeCell ref="C13:D13"/>
    <mergeCell ref="C14:D14"/>
    <mergeCell ref="C15:D15"/>
    <mergeCell ref="F9:F11"/>
    <mergeCell ref="G9:G11"/>
    <mergeCell ref="H9:H11"/>
    <mergeCell ref="J9:J11"/>
    <mergeCell ref="K9:K11"/>
    <mergeCell ref="M118:N119"/>
    <mergeCell ref="G95:H96"/>
    <mergeCell ref="I95:J96"/>
    <mergeCell ref="B121:F121"/>
    <mergeCell ref="B98:F98"/>
    <mergeCell ref="G118:H119"/>
    <mergeCell ref="I118:J119"/>
    <mergeCell ref="K118:L1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FE62-BB2A-4A55-84ED-94AA8F04281F}">
  <dimension ref="B1:H29"/>
  <sheetViews>
    <sheetView workbookViewId="0">
      <selection activeCell="H6" sqref="H6"/>
    </sheetView>
  </sheetViews>
  <sheetFormatPr defaultRowHeight="14.4"/>
  <cols>
    <col min="2" max="2" width="36.88671875" customWidth="1"/>
    <col min="8" max="8" width="11.33203125" customWidth="1"/>
  </cols>
  <sheetData>
    <row r="1" spans="2:8">
      <c r="G1" s="21" t="s">
        <v>363</v>
      </c>
      <c r="H1" t="s">
        <v>389</v>
      </c>
    </row>
    <row r="2" spans="2:8">
      <c r="G2" s="21" t="s">
        <v>364</v>
      </c>
      <c r="H2" t="s">
        <v>390</v>
      </c>
    </row>
    <row r="3" spans="2:8">
      <c r="G3" s="21" t="s">
        <v>365</v>
      </c>
      <c r="H3" t="s">
        <v>513</v>
      </c>
    </row>
    <row r="4" spans="2:8">
      <c r="G4" s="21" t="s">
        <v>366</v>
      </c>
      <c r="H4" t="s">
        <v>388</v>
      </c>
    </row>
    <row r="5" spans="2:8">
      <c r="G5" s="21" t="s">
        <v>368</v>
      </c>
      <c r="H5" s="37">
        <v>45517</v>
      </c>
    </row>
    <row r="7" spans="2:8">
      <c r="B7" s="1" t="s">
        <v>16</v>
      </c>
    </row>
    <row r="8" spans="2:8">
      <c r="B8" t="s">
        <v>18</v>
      </c>
      <c r="C8">
        <v>84000</v>
      </c>
      <c r="D8" t="s">
        <v>19</v>
      </c>
    </row>
    <row r="9" spans="2:8">
      <c r="B9" t="s">
        <v>21</v>
      </c>
      <c r="C9">
        <v>5.0000000000000001E-3</v>
      </c>
      <c r="D9" t="s">
        <v>22</v>
      </c>
    </row>
    <row r="10" spans="2:8">
      <c r="B10" t="s">
        <v>23</v>
      </c>
      <c r="C10">
        <v>1060</v>
      </c>
      <c r="D10" t="s">
        <v>24</v>
      </c>
    </row>
    <row r="11" spans="2:8">
      <c r="B11" t="s">
        <v>27</v>
      </c>
      <c r="C11">
        <v>8760</v>
      </c>
      <c r="D11" t="s">
        <v>28</v>
      </c>
    </row>
    <row r="12" spans="2:8">
      <c r="B12" t="s">
        <v>31</v>
      </c>
      <c r="C12">
        <v>8.34</v>
      </c>
      <c r="D12" t="s">
        <v>32</v>
      </c>
    </row>
    <row r="14" spans="2:8">
      <c r="B14" s="1" t="s">
        <v>35</v>
      </c>
    </row>
    <row r="16" spans="2:8">
      <c r="B16" s="1" t="s">
        <v>38</v>
      </c>
    </row>
    <row r="18" spans="2:5">
      <c r="B18" s="1" t="s">
        <v>41</v>
      </c>
      <c r="C18" s="1" t="s">
        <v>42</v>
      </c>
      <c r="D18" s="1" t="s">
        <v>43</v>
      </c>
      <c r="E18" s="1" t="s">
        <v>44</v>
      </c>
    </row>
    <row r="19" spans="2:5">
      <c r="B19" t="s">
        <v>46</v>
      </c>
      <c r="C19">
        <f>C8</f>
        <v>84000</v>
      </c>
      <c r="D19" t="s">
        <v>47</v>
      </c>
      <c r="E19" t="s">
        <v>48</v>
      </c>
    </row>
    <row r="20" spans="2:5">
      <c r="B20" t="s">
        <v>50</v>
      </c>
      <c r="C20">
        <f>C12</f>
        <v>8.34</v>
      </c>
      <c r="D20" t="s">
        <v>51</v>
      </c>
      <c r="E20" t="s">
        <v>52</v>
      </c>
    </row>
    <row r="21" spans="2:5">
      <c r="B21" t="s">
        <v>54</v>
      </c>
      <c r="C21">
        <f>C19*C20*60</f>
        <v>42033600</v>
      </c>
      <c r="D21" t="s">
        <v>55</v>
      </c>
    </row>
    <row r="22" spans="2:5">
      <c r="B22" t="s">
        <v>57</v>
      </c>
      <c r="C22">
        <f>C9</f>
        <v>5.0000000000000001E-3</v>
      </c>
      <c r="D22" t="s">
        <v>22</v>
      </c>
      <c r="E22" t="s">
        <v>58</v>
      </c>
    </row>
    <row r="23" spans="2:5">
      <c r="B23" t="s">
        <v>61</v>
      </c>
      <c r="C23">
        <f>C21*C22/100</f>
        <v>2101.6799999999998</v>
      </c>
      <c r="D23" t="s">
        <v>55</v>
      </c>
    </row>
    <row r="24" spans="2:5">
      <c r="B24" t="s">
        <v>64</v>
      </c>
      <c r="C24">
        <f>C10</f>
        <v>1060</v>
      </c>
      <c r="D24" t="s">
        <v>65</v>
      </c>
      <c r="E24" t="s">
        <v>66</v>
      </c>
    </row>
    <row r="25" spans="2:5">
      <c r="B25" t="s">
        <v>67</v>
      </c>
      <c r="C25">
        <f>C8*60*C9/100*C12*C10/1000000</f>
        <v>2.2277807999999997</v>
      </c>
      <c r="D25" t="s">
        <v>55</v>
      </c>
    </row>
    <row r="26" spans="2:5">
      <c r="B26" t="s">
        <v>68</v>
      </c>
      <c r="C26">
        <f>C11</f>
        <v>8760</v>
      </c>
      <c r="D26" t="s">
        <v>69</v>
      </c>
      <c r="E26" t="s">
        <v>70</v>
      </c>
    </row>
    <row r="28" spans="2:5">
      <c r="B28" s="1" t="s">
        <v>75</v>
      </c>
      <c r="C28" s="1">
        <f>C25*C26/2000</f>
        <v>9.757679903999998</v>
      </c>
      <c r="D28" s="1" t="s">
        <v>76</v>
      </c>
    </row>
    <row r="29" spans="2:5">
      <c r="B29" s="1" t="s">
        <v>78</v>
      </c>
      <c r="C29" s="1">
        <f>C28</f>
        <v>9.757679903999998</v>
      </c>
      <c r="D29" s="1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66EB-5C31-4554-9616-01E04AAAC213}">
  <dimension ref="A1:T46"/>
  <sheetViews>
    <sheetView tabSelected="1" workbookViewId="0">
      <selection activeCell="T30" sqref="T30"/>
    </sheetView>
  </sheetViews>
  <sheetFormatPr defaultRowHeight="14.4"/>
  <cols>
    <col min="1" max="2" width="13" customWidth="1"/>
    <col min="4" max="4" width="10.88671875" customWidth="1"/>
    <col min="5" max="5" width="12.6640625" customWidth="1"/>
    <col min="6" max="6" width="15" customWidth="1"/>
    <col min="7" max="7" width="10.88671875" bestFit="1" customWidth="1"/>
    <col min="8" max="8" width="10.44140625" customWidth="1"/>
    <col min="9" max="9" width="9.6640625" bestFit="1" customWidth="1"/>
    <col min="16" max="16" width="12.44140625" bestFit="1" customWidth="1"/>
  </cols>
  <sheetData>
    <row r="1" spans="1:18">
      <c r="H1" s="21" t="s">
        <v>363</v>
      </c>
      <c r="I1" t="s">
        <v>389</v>
      </c>
    </row>
    <row r="2" spans="1:18">
      <c r="H2" s="21" t="s">
        <v>364</v>
      </c>
      <c r="I2" t="s">
        <v>390</v>
      </c>
    </row>
    <row r="3" spans="1:18">
      <c r="H3" s="21" t="s">
        <v>365</v>
      </c>
      <c r="I3" t="s">
        <v>513</v>
      </c>
    </row>
    <row r="4" spans="1:18">
      <c r="H4" s="21" t="s">
        <v>366</v>
      </c>
      <c r="I4" t="s">
        <v>388</v>
      </c>
    </row>
    <row r="5" spans="1:18">
      <c r="H5" s="21" t="s">
        <v>368</v>
      </c>
      <c r="I5" s="37">
        <v>45530</v>
      </c>
    </row>
    <row r="7" spans="1:18">
      <c r="B7" s="68" t="s">
        <v>454</v>
      </c>
    </row>
    <row r="10" spans="1:18">
      <c r="A10" s="43"/>
      <c r="B10" s="43"/>
      <c r="E10" s="127" t="s">
        <v>450</v>
      </c>
      <c r="F10" s="128"/>
      <c r="G10" s="128"/>
      <c r="H10" s="128"/>
      <c r="I10" s="128"/>
      <c r="J10" s="128"/>
      <c r="K10" s="128"/>
      <c r="L10" s="129"/>
      <c r="O10" s="280" t="s">
        <v>431</v>
      </c>
      <c r="P10" s="281"/>
      <c r="Q10" s="281"/>
      <c r="R10" s="282"/>
    </row>
    <row r="11" spans="1:18" ht="26.25" customHeight="1">
      <c r="B11" s="276" t="s">
        <v>432</v>
      </c>
      <c r="C11" s="277"/>
      <c r="D11" s="278"/>
      <c r="E11" s="46" t="s">
        <v>362</v>
      </c>
      <c r="F11" s="47" t="s">
        <v>462</v>
      </c>
      <c r="G11" s="89" t="s">
        <v>460</v>
      </c>
      <c r="H11" s="48" t="s">
        <v>457</v>
      </c>
      <c r="I11" s="47" t="s">
        <v>461</v>
      </c>
      <c r="J11" s="47" t="s">
        <v>135</v>
      </c>
      <c r="K11" s="47" t="s">
        <v>146</v>
      </c>
      <c r="L11" s="32" t="s">
        <v>434</v>
      </c>
      <c r="O11" s="283">
        <v>1.5E-3</v>
      </c>
      <c r="P11" s="284"/>
      <c r="Q11" s="284"/>
      <c r="R11" s="285"/>
    </row>
    <row r="12" spans="1:18" ht="16.2">
      <c r="B12" s="279" t="s">
        <v>451</v>
      </c>
      <c r="C12" s="277"/>
      <c r="D12" s="278"/>
      <c r="E12" s="66">
        <v>0.31</v>
      </c>
      <c r="F12" s="67">
        <v>0.31</v>
      </c>
      <c r="G12" s="86">
        <v>0.28999999999999998</v>
      </c>
      <c r="H12" s="87">
        <f>0.0081*O11</f>
        <v>1.2149999999999999E-5</v>
      </c>
      <c r="I12" s="67">
        <v>4.41</v>
      </c>
      <c r="J12" s="67">
        <v>0.35</v>
      </c>
      <c r="K12" s="67">
        <v>0.95</v>
      </c>
      <c r="L12" s="56"/>
      <c r="O12" s="286" t="s">
        <v>436</v>
      </c>
      <c r="P12" s="284"/>
      <c r="Q12" s="284"/>
      <c r="R12" s="285"/>
    </row>
    <row r="13" spans="1:18" ht="16.2">
      <c r="B13" s="279" t="s">
        <v>438</v>
      </c>
      <c r="C13" s="277"/>
      <c r="D13" s="278"/>
      <c r="E13" s="49">
        <v>0.28000000000000003</v>
      </c>
      <c r="F13" s="49">
        <v>0.28000000000000003</v>
      </c>
      <c r="G13" s="50"/>
      <c r="H13" s="50"/>
      <c r="I13" s="50"/>
      <c r="J13" s="50"/>
      <c r="K13" s="50"/>
      <c r="L13" s="50"/>
      <c r="O13" s="287">
        <v>140</v>
      </c>
      <c r="P13" s="284"/>
      <c r="Q13" s="284"/>
      <c r="R13" s="285"/>
    </row>
    <row r="14" spans="1:18" ht="16.2">
      <c r="B14" s="53" t="s">
        <v>452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8" ht="16.2">
      <c r="B15" s="54" t="s">
        <v>441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8" ht="16.2">
      <c r="B16" s="54" t="s">
        <v>459</v>
      </c>
    </row>
    <row r="17" spans="2:20" ht="16.2" hidden="1">
      <c r="B17" s="85" t="s">
        <v>458</v>
      </c>
      <c r="C17" s="295" t="s">
        <v>429</v>
      </c>
      <c r="D17" s="296"/>
      <c r="E17" s="296"/>
      <c r="F17" s="296"/>
      <c r="G17" s="296"/>
      <c r="H17" s="296"/>
      <c r="I17" s="297"/>
      <c r="J17" s="298" t="s">
        <v>430</v>
      </c>
      <c r="K17" s="299"/>
      <c r="L17" s="297"/>
      <c r="M17" s="44"/>
      <c r="N17" s="300" t="s">
        <v>431</v>
      </c>
      <c r="O17" s="277"/>
      <c r="P17" s="277"/>
      <c r="Q17" s="277"/>
    </row>
    <row r="18" spans="2:20" ht="28.8" hidden="1">
      <c r="B18" s="60" t="s">
        <v>432</v>
      </c>
      <c r="C18" s="46" t="s">
        <v>362</v>
      </c>
      <c r="D18" s="47" t="s">
        <v>330</v>
      </c>
      <c r="E18" s="48" t="s">
        <v>433</v>
      </c>
      <c r="F18" s="47" t="s">
        <v>131</v>
      </c>
      <c r="G18" s="47" t="s">
        <v>135</v>
      </c>
      <c r="H18" s="47"/>
      <c r="I18" s="47" t="s">
        <v>146</v>
      </c>
      <c r="J18" s="301" t="s">
        <v>434</v>
      </c>
      <c r="K18" s="301"/>
      <c r="L18" s="301"/>
      <c r="M18" s="43"/>
      <c r="N18" s="302">
        <v>1.5E-3</v>
      </c>
      <c r="O18" s="302"/>
      <c r="P18" s="302"/>
      <c r="Q18" s="302"/>
    </row>
    <row r="19" spans="2:20" ht="16.2" hidden="1">
      <c r="B19" s="58" t="s">
        <v>435</v>
      </c>
      <c r="C19" s="55">
        <v>6.9999999999999999E-4</v>
      </c>
      <c r="D19" s="56">
        <v>6.9999999999999999E-4</v>
      </c>
      <c r="E19" s="56">
        <f>0.00809*N18</f>
        <v>1.2135E-5</v>
      </c>
      <c r="F19" s="56">
        <v>2.4E-2</v>
      </c>
      <c r="G19" s="56">
        <v>6.9999999999999999E-4</v>
      </c>
      <c r="H19" s="56"/>
      <c r="I19" s="56">
        <v>5.4999999999999997E-3</v>
      </c>
      <c r="J19" s="292">
        <v>1.49198E-3</v>
      </c>
      <c r="K19" s="292"/>
      <c r="L19" s="292"/>
      <c r="M19" s="43"/>
      <c r="N19" s="293" t="s">
        <v>436</v>
      </c>
      <c r="O19" s="293"/>
      <c r="P19" s="293"/>
      <c r="Q19" s="293"/>
    </row>
    <row r="20" spans="2:20" ht="16.2" hidden="1">
      <c r="B20" s="58" t="s">
        <v>437</v>
      </c>
      <c r="C20" s="55">
        <v>2.2000000000000001E-3</v>
      </c>
      <c r="D20" s="56">
        <v>2.2000000000000001E-3</v>
      </c>
      <c r="E20" s="56">
        <v>2.0500000000000002E-3</v>
      </c>
      <c r="F20" s="56">
        <v>3.1E-2</v>
      </c>
      <c r="G20" s="56">
        <v>2.5100000000000001E-3</v>
      </c>
      <c r="H20" s="56"/>
      <c r="I20" s="56">
        <v>6.6800000000000002E-3</v>
      </c>
      <c r="J20" s="292">
        <v>3.79E-3</v>
      </c>
      <c r="K20" s="292"/>
      <c r="L20" s="292"/>
      <c r="M20" s="43"/>
      <c r="N20" s="294">
        <v>140</v>
      </c>
      <c r="O20" s="294"/>
      <c r="P20" s="294"/>
      <c r="Q20" s="294"/>
    </row>
    <row r="21" spans="2:20" ht="16.2" hidden="1">
      <c r="B21" s="57" t="s">
        <v>438</v>
      </c>
      <c r="C21" s="49">
        <v>0.28000000000000003</v>
      </c>
      <c r="D21" s="49">
        <v>0.28000000000000003</v>
      </c>
      <c r="E21" s="50"/>
      <c r="F21" s="50"/>
      <c r="G21" s="50"/>
      <c r="H21" s="50"/>
      <c r="I21" s="50"/>
      <c r="J21" s="50"/>
      <c r="K21" s="50"/>
      <c r="L21" s="50"/>
      <c r="M21" s="50"/>
      <c r="N21" s="43"/>
      <c r="O21" s="51"/>
      <c r="P21" s="51"/>
      <c r="Q21" s="51"/>
    </row>
    <row r="22" spans="2:20" ht="16.2" hidden="1">
      <c r="B22" s="53" t="s">
        <v>439</v>
      </c>
    </row>
    <row r="23" spans="2:20" ht="16.2" hidden="1">
      <c r="B23" s="53" t="s">
        <v>440</v>
      </c>
    </row>
    <row r="24" spans="2:20" ht="16.2" hidden="1">
      <c r="B24" s="54" t="s">
        <v>441</v>
      </c>
    </row>
    <row r="25" spans="2:20" ht="16.2">
      <c r="B25" s="85" t="s">
        <v>458</v>
      </c>
    </row>
    <row r="28" spans="2:20">
      <c r="G28" s="64" t="s">
        <v>442</v>
      </c>
      <c r="H28" s="62"/>
      <c r="I28" s="62"/>
      <c r="J28" s="62"/>
      <c r="K28" s="62"/>
      <c r="L28" s="62"/>
      <c r="M28" s="63"/>
      <c r="N28" s="64" t="s">
        <v>449</v>
      </c>
      <c r="O28" s="45"/>
      <c r="P28" s="62"/>
      <c r="Q28" s="62"/>
      <c r="R28" s="62"/>
      <c r="S28" s="62"/>
      <c r="T28" s="63"/>
    </row>
    <row r="29" spans="2:20" ht="53.25" customHeight="1">
      <c r="B29" s="61" t="s">
        <v>443</v>
      </c>
      <c r="C29" s="61" t="s">
        <v>444</v>
      </c>
      <c r="D29" s="61" t="s">
        <v>445</v>
      </c>
      <c r="E29" s="61" t="s">
        <v>447</v>
      </c>
      <c r="F29" s="61" t="s">
        <v>448</v>
      </c>
      <c r="G29" s="47" t="s">
        <v>362</v>
      </c>
      <c r="H29" s="47" t="s">
        <v>330</v>
      </c>
      <c r="I29" s="48" t="s">
        <v>446</v>
      </c>
      <c r="J29" s="47" t="s">
        <v>131</v>
      </c>
      <c r="K29" s="47" t="s">
        <v>135</v>
      </c>
      <c r="L29" s="47" t="s">
        <v>146</v>
      </c>
      <c r="M29" s="52" t="s">
        <v>434</v>
      </c>
      <c r="N29" s="47" t="s">
        <v>362</v>
      </c>
      <c r="O29" s="47" t="s">
        <v>330</v>
      </c>
      <c r="P29" s="48" t="s">
        <v>446</v>
      </c>
      <c r="Q29" s="47" t="s">
        <v>131</v>
      </c>
      <c r="R29" s="47" t="s">
        <v>135</v>
      </c>
      <c r="S29" s="47" t="s">
        <v>146</v>
      </c>
      <c r="T29" s="52" t="s">
        <v>434</v>
      </c>
    </row>
    <row r="30" spans="2:20">
      <c r="B30" s="38"/>
      <c r="C30" s="83">
        <v>460</v>
      </c>
      <c r="D30" s="83">
        <v>3.4</v>
      </c>
      <c r="E30" s="83"/>
      <c r="F30" s="83">
        <v>500</v>
      </c>
      <c r="G30" s="83">
        <f>$D$30*E13</f>
        <v>0.95200000000000007</v>
      </c>
      <c r="H30" s="83">
        <f>$D$30*F13</f>
        <v>0.95200000000000007</v>
      </c>
      <c r="I30" s="83">
        <f>$D$30*G12</f>
        <v>0.98599999999999988</v>
      </c>
      <c r="J30" s="83">
        <f>$D$30*I12</f>
        <v>14.994</v>
      </c>
      <c r="K30" s="83">
        <f>$D$30*J12</f>
        <v>1.19</v>
      </c>
      <c r="L30" s="83">
        <f>$D$30*K12</f>
        <v>3.23</v>
      </c>
      <c r="M30" s="124">
        <f>G36</f>
        <v>2.1942239999999998E-2</v>
      </c>
      <c r="N30" s="84">
        <f>$G$30*F30/2000</f>
        <v>0.23800000000000002</v>
      </c>
      <c r="O30" s="84">
        <f>$G$30*F30/2000</f>
        <v>0.23800000000000002</v>
      </c>
      <c r="P30" s="84">
        <f>$F$30*I30/2000</f>
        <v>0.24649999999999997</v>
      </c>
      <c r="Q30" s="84">
        <f>$F$30*J30/2000</f>
        <v>3.7484999999999999</v>
      </c>
      <c r="R30" s="84">
        <f>$F$30*K30/2000</f>
        <v>0.29749999999999999</v>
      </c>
      <c r="S30" s="84">
        <f>$F$30*L30/2000</f>
        <v>0.8075</v>
      </c>
      <c r="T30" s="125">
        <f>H36</f>
        <v>5.4855599999999996E-3</v>
      </c>
    </row>
    <row r="33" spans="2:8">
      <c r="G33" s="288" t="s">
        <v>507</v>
      </c>
      <c r="H33" s="289"/>
    </row>
    <row r="34" spans="2:8">
      <c r="G34" s="290"/>
      <c r="H34" s="291"/>
    </row>
    <row r="35" spans="2:8">
      <c r="G35" s="153" t="s">
        <v>55</v>
      </c>
      <c r="H35" s="154" t="s">
        <v>79</v>
      </c>
    </row>
    <row r="36" spans="2:8">
      <c r="B36" s="257" t="s">
        <v>486</v>
      </c>
      <c r="C36" s="258"/>
      <c r="D36" s="258"/>
      <c r="E36" s="258"/>
      <c r="F36" s="259"/>
      <c r="G36" s="155">
        <f>SUM(G37:G46)</f>
        <v>2.1942239999999998E-2</v>
      </c>
      <c r="H36" s="155">
        <f>SUM(H37:H46)</f>
        <v>5.4855599999999996E-3</v>
      </c>
    </row>
    <row r="37" spans="2:8">
      <c r="B37" s="156" t="s">
        <v>182</v>
      </c>
      <c r="C37" s="115">
        <v>9.3300000000000002E-4</v>
      </c>
      <c r="D37" s="109" t="s">
        <v>479</v>
      </c>
      <c r="E37" s="110" t="s">
        <v>505</v>
      </c>
      <c r="F37" s="110"/>
      <c r="G37" s="123">
        <f>C37*$D$30</f>
        <v>3.1722E-3</v>
      </c>
      <c r="H37" s="120">
        <f>G37*$F$30/2000</f>
        <v>7.9305E-4</v>
      </c>
    </row>
    <row r="38" spans="2:8">
      <c r="B38" s="156" t="s">
        <v>281</v>
      </c>
      <c r="C38" s="115">
        <v>4.0900000000000002E-4</v>
      </c>
      <c r="D38" s="109" t="s">
        <v>479</v>
      </c>
      <c r="E38" s="110" t="s">
        <v>505</v>
      </c>
      <c r="F38" s="115"/>
      <c r="G38" s="123">
        <f t="shared" ref="G38:G46" si="0">C38*$D$30</f>
        <v>1.3906000000000001E-3</v>
      </c>
      <c r="H38" s="120">
        <f t="shared" ref="H38:H46" si="1">G38*$F$30/2000</f>
        <v>3.4765000000000002E-4</v>
      </c>
    </row>
    <row r="39" spans="2:8">
      <c r="B39" s="156" t="s">
        <v>285</v>
      </c>
      <c r="C39" s="115">
        <v>2.8499999999999999E-4</v>
      </c>
      <c r="D39" s="109" t="s">
        <v>479</v>
      </c>
      <c r="E39" s="110" t="s">
        <v>505</v>
      </c>
      <c r="F39" s="115"/>
      <c r="G39" s="123">
        <f t="shared" si="0"/>
        <v>9.6899999999999992E-4</v>
      </c>
      <c r="H39" s="120">
        <f t="shared" si="1"/>
        <v>2.4225000000000001E-4</v>
      </c>
    </row>
    <row r="40" spans="2:8">
      <c r="B40" s="156" t="s">
        <v>506</v>
      </c>
      <c r="C40" s="115">
        <v>2.5799999999999998E-3</v>
      </c>
      <c r="D40" s="109" t="s">
        <v>479</v>
      </c>
      <c r="E40" s="110" t="s">
        <v>505</v>
      </c>
      <c r="F40" s="115"/>
      <c r="G40" s="123">
        <f t="shared" si="0"/>
        <v>8.7719999999999985E-3</v>
      </c>
      <c r="H40" s="120">
        <f t="shared" si="1"/>
        <v>2.1929999999999996E-3</v>
      </c>
    </row>
    <row r="41" spans="2:8">
      <c r="B41" s="156" t="s">
        <v>148</v>
      </c>
      <c r="C41" s="115">
        <v>3.9100000000000002E-5</v>
      </c>
      <c r="D41" s="109" t="s">
        <v>479</v>
      </c>
      <c r="E41" s="110" t="s">
        <v>505</v>
      </c>
      <c r="F41" s="115"/>
      <c r="G41" s="123">
        <f t="shared" si="0"/>
        <v>1.3294000000000001E-4</v>
      </c>
      <c r="H41" s="120">
        <f t="shared" si="1"/>
        <v>3.3235000000000003E-5</v>
      </c>
    </row>
    <row r="42" spans="2:8">
      <c r="B42" s="156" t="s">
        <v>230</v>
      </c>
      <c r="C42" s="115">
        <v>1.1800000000000001E-3</v>
      </c>
      <c r="D42" s="109" t="s">
        <v>479</v>
      </c>
      <c r="E42" s="110" t="s">
        <v>505</v>
      </c>
      <c r="F42" s="149"/>
      <c r="G42" s="123">
        <f t="shared" si="0"/>
        <v>4.0119999999999999E-3</v>
      </c>
      <c r="H42" s="120">
        <f t="shared" si="1"/>
        <v>1.003E-3</v>
      </c>
    </row>
    <row r="43" spans="2:8">
      <c r="B43" s="156" t="s">
        <v>166</v>
      </c>
      <c r="C43" s="115">
        <v>7.67E-4</v>
      </c>
      <c r="D43" s="109" t="s">
        <v>479</v>
      </c>
      <c r="E43" s="110" t="s">
        <v>505</v>
      </c>
      <c r="F43" s="109"/>
      <c r="G43" s="123">
        <f t="shared" si="0"/>
        <v>2.6078E-3</v>
      </c>
      <c r="H43" s="120">
        <f t="shared" si="1"/>
        <v>6.5194999999999999E-4</v>
      </c>
    </row>
    <row r="44" spans="2:8">
      <c r="B44" s="156" t="s">
        <v>174</v>
      </c>
      <c r="C44" s="115">
        <v>9.2499999999999999E-5</v>
      </c>
      <c r="D44" s="109" t="s">
        <v>479</v>
      </c>
      <c r="E44" s="110" t="s">
        <v>505</v>
      </c>
      <c r="F44" s="109"/>
      <c r="G44" s="123">
        <f t="shared" si="0"/>
        <v>3.145E-4</v>
      </c>
      <c r="H44" s="120">
        <f t="shared" si="1"/>
        <v>7.8625E-5</v>
      </c>
    </row>
    <row r="45" spans="2:8">
      <c r="B45" s="156" t="s">
        <v>264</v>
      </c>
      <c r="C45" s="115">
        <v>8.4800000000000001E-5</v>
      </c>
      <c r="D45" s="109" t="s">
        <v>479</v>
      </c>
      <c r="E45" s="110" t="s">
        <v>505</v>
      </c>
      <c r="F45" s="109"/>
      <c r="G45" s="123">
        <f t="shared" si="0"/>
        <v>2.8832E-4</v>
      </c>
      <c r="H45" s="120">
        <f t="shared" si="1"/>
        <v>7.2080000000000001E-5</v>
      </c>
    </row>
    <row r="46" spans="2:8">
      <c r="B46" s="156" t="s">
        <v>481</v>
      </c>
      <c r="C46" s="115">
        <f>0.000168-C45</f>
        <v>8.3199999999999989E-5</v>
      </c>
      <c r="D46" s="109" t="s">
        <v>479</v>
      </c>
      <c r="E46" s="110" t="s">
        <v>505</v>
      </c>
      <c r="F46" s="109"/>
      <c r="G46" s="123">
        <f t="shared" si="0"/>
        <v>2.8287999999999995E-4</v>
      </c>
      <c r="H46" s="120">
        <f t="shared" si="1"/>
        <v>7.0719999999999987E-5</v>
      </c>
    </row>
  </sheetData>
  <mergeCells count="18">
    <mergeCell ref="C17:I17"/>
    <mergeCell ref="J17:L17"/>
    <mergeCell ref="N17:Q17"/>
    <mergeCell ref="J18:L18"/>
    <mergeCell ref="N18:Q18"/>
    <mergeCell ref="B36:F36"/>
    <mergeCell ref="G33:H34"/>
    <mergeCell ref="J19:L19"/>
    <mergeCell ref="N19:Q19"/>
    <mergeCell ref="J20:L20"/>
    <mergeCell ref="N20:Q20"/>
    <mergeCell ref="B11:D11"/>
    <mergeCell ref="B12:D12"/>
    <mergeCell ref="B13:D13"/>
    <mergeCell ref="O10:R10"/>
    <mergeCell ref="O11:R11"/>
    <mergeCell ref="O12:R12"/>
    <mergeCell ref="O13:R1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889A-1042-4EE9-9FEC-49AB59FE6D1E}">
  <dimension ref="A1:V45"/>
  <sheetViews>
    <sheetView workbookViewId="0">
      <selection activeCell="D31" sqref="D31"/>
    </sheetView>
  </sheetViews>
  <sheetFormatPr defaultRowHeight="14.4"/>
  <cols>
    <col min="1" max="1" width="13" customWidth="1"/>
    <col min="2" max="2" width="12.109375" customWidth="1"/>
    <col min="4" max="4" width="12.33203125" customWidth="1"/>
    <col min="5" max="5" width="13.44140625" customWidth="1"/>
    <col min="6" max="6" width="14.109375" customWidth="1"/>
    <col min="9" max="9" width="11.5546875" customWidth="1"/>
    <col min="16" max="16" width="12.44140625" bestFit="1" customWidth="1"/>
  </cols>
  <sheetData>
    <row r="1" spans="1:22">
      <c r="H1" s="21" t="s">
        <v>363</v>
      </c>
      <c r="I1" t="s">
        <v>389</v>
      </c>
    </row>
    <row r="2" spans="1:22">
      <c r="H2" s="21" t="s">
        <v>364</v>
      </c>
      <c r="I2" t="s">
        <v>390</v>
      </c>
    </row>
    <row r="3" spans="1:22">
      <c r="H3" s="21" t="s">
        <v>365</v>
      </c>
      <c r="I3" t="s">
        <v>513</v>
      </c>
    </row>
    <row r="4" spans="1:22">
      <c r="H4" s="21" t="s">
        <v>366</v>
      </c>
      <c r="I4" t="s">
        <v>388</v>
      </c>
    </row>
    <row r="5" spans="1:22">
      <c r="H5" s="21" t="s">
        <v>368</v>
      </c>
      <c r="I5" s="37">
        <v>45530</v>
      </c>
    </row>
    <row r="7" spans="1:22">
      <c r="B7" s="68" t="s">
        <v>453</v>
      </c>
    </row>
    <row r="9" spans="1:22">
      <c r="A9" s="65"/>
      <c r="B9" s="65"/>
      <c r="E9" s="127" t="s">
        <v>450</v>
      </c>
      <c r="F9" s="130"/>
      <c r="G9" s="130"/>
      <c r="H9" s="130"/>
      <c r="I9" s="130"/>
      <c r="J9" s="130"/>
      <c r="K9" s="130"/>
      <c r="L9" s="131"/>
      <c r="M9" s="69"/>
      <c r="O9" s="286" t="s">
        <v>431</v>
      </c>
      <c r="P9" s="284"/>
      <c r="Q9" s="284"/>
      <c r="R9" s="285"/>
      <c r="S9" s="69"/>
      <c r="T9" s="69"/>
      <c r="U9" s="69"/>
      <c r="V9" s="69"/>
    </row>
    <row r="10" spans="1:22" ht="24" customHeight="1">
      <c r="B10" s="303" t="s">
        <v>432</v>
      </c>
      <c r="C10" s="304"/>
      <c r="D10" s="275"/>
      <c r="E10" s="46" t="s">
        <v>362</v>
      </c>
      <c r="F10" s="47" t="s">
        <v>462</v>
      </c>
      <c r="G10" s="89" t="s">
        <v>460</v>
      </c>
      <c r="H10" s="48" t="s">
        <v>457</v>
      </c>
      <c r="I10" s="47" t="s">
        <v>461</v>
      </c>
      <c r="J10" s="47" t="s">
        <v>135</v>
      </c>
      <c r="K10" s="47" t="s">
        <v>146</v>
      </c>
      <c r="L10" s="32" t="s">
        <v>434</v>
      </c>
      <c r="M10" s="69"/>
      <c r="O10" s="283">
        <v>1.5E-3</v>
      </c>
      <c r="P10" s="284"/>
      <c r="Q10" s="284"/>
      <c r="R10" s="285"/>
      <c r="S10" s="69"/>
      <c r="T10" s="69"/>
      <c r="U10" s="69"/>
      <c r="V10" s="69"/>
    </row>
    <row r="11" spans="1:22">
      <c r="B11" s="305" t="s">
        <v>451</v>
      </c>
      <c r="C11" s="304"/>
      <c r="D11" s="275"/>
      <c r="E11" s="66">
        <v>0.31</v>
      </c>
      <c r="F11" s="67">
        <v>0.31</v>
      </c>
      <c r="G11" s="86">
        <v>0.28999999999999998</v>
      </c>
      <c r="H11" s="87">
        <f>0.0081*O10</f>
        <v>1.2149999999999999E-5</v>
      </c>
      <c r="I11" s="67">
        <v>4.41</v>
      </c>
      <c r="J11" s="67">
        <v>0.35</v>
      </c>
      <c r="K11" s="67">
        <v>0.95</v>
      </c>
      <c r="L11" s="38"/>
      <c r="M11" s="69"/>
      <c r="O11" s="286" t="s">
        <v>436</v>
      </c>
      <c r="P11" s="284"/>
      <c r="Q11" s="284"/>
      <c r="R11" s="285"/>
      <c r="S11" s="69"/>
      <c r="T11" s="69"/>
      <c r="U11" s="69"/>
      <c r="V11" s="69"/>
    </row>
    <row r="12" spans="1:22">
      <c r="B12" s="305" t="s">
        <v>438</v>
      </c>
      <c r="C12" s="304"/>
      <c r="D12" s="275"/>
      <c r="E12" s="157">
        <v>0.28000000000000003</v>
      </c>
      <c r="F12" s="49">
        <v>0.28000000000000003</v>
      </c>
      <c r="G12" s="50"/>
      <c r="H12" s="50"/>
      <c r="I12" s="50"/>
      <c r="J12" s="50"/>
      <c r="K12" s="50"/>
      <c r="L12" s="72"/>
      <c r="M12" s="69"/>
      <c r="O12" s="287">
        <v>140</v>
      </c>
      <c r="P12" s="284"/>
      <c r="Q12" s="284"/>
      <c r="R12" s="285"/>
      <c r="S12" s="69"/>
      <c r="T12" s="69"/>
      <c r="U12" s="69"/>
      <c r="V12" s="69"/>
    </row>
    <row r="13" spans="1:22" ht="16.2">
      <c r="B13" s="54" t="s">
        <v>452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 ht="16.2">
      <c r="B14" s="54" t="s">
        <v>441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 ht="16.2">
      <c r="B15" s="54" t="s">
        <v>459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 ht="16.2">
      <c r="B16" s="85" t="s">
        <v>458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hidden="1">
      <c r="A17" s="65"/>
      <c r="B17" s="65"/>
      <c r="C17" s="295" t="s">
        <v>429</v>
      </c>
      <c r="D17" s="296"/>
      <c r="E17" s="296"/>
      <c r="F17" s="296"/>
      <c r="G17" s="296"/>
      <c r="H17" s="296"/>
      <c r="I17" s="297"/>
      <c r="J17" s="298" t="s">
        <v>430</v>
      </c>
      <c r="K17" s="299"/>
      <c r="L17" s="297"/>
      <c r="M17" s="73"/>
      <c r="N17" s="300" t="s">
        <v>431</v>
      </c>
      <c r="O17" s="281"/>
      <c r="P17" s="281"/>
      <c r="Q17" s="281"/>
      <c r="R17" s="69"/>
      <c r="S17" s="69"/>
      <c r="T17" s="69"/>
      <c r="U17" s="69"/>
      <c r="V17" s="69"/>
    </row>
    <row r="18" spans="1:22" ht="15.6" hidden="1">
      <c r="A18" s="70" t="s">
        <v>432</v>
      </c>
      <c r="B18" s="71"/>
      <c r="C18" s="46" t="s">
        <v>362</v>
      </c>
      <c r="D18" s="47" t="s">
        <v>330</v>
      </c>
      <c r="E18" s="48" t="s">
        <v>433</v>
      </c>
      <c r="F18" s="47" t="s">
        <v>131</v>
      </c>
      <c r="G18" s="47" t="s">
        <v>135</v>
      </c>
      <c r="H18" s="47"/>
      <c r="I18" s="47" t="s">
        <v>146</v>
      </c>
      <c r="J18" s="301" t="s">
        <v>434</v>
      </c>
      <c r="K18" s="301"/>
      <c r="L18" s="301"/>
      <c r="M18" s="65"/>
      <c r="N18" s="302">
        <v>1.5E-3</v>
      </c>
      <c r="O18" s="302"/>
      <c r="P18" s="302"/>
      <c r="Q18" s="302"/>
      <c r="R18" s="69"/>
      <c r="S18" s="69"/>
      <c r="T18" s="69"/>
      <c r="U18" s="69"/>
      <c r="V18" s="69"/>
    </row>
    <row r="19" spans="1:22" ht="16.2" hidden="1">
      <c r="A19" s="58" t="s">
        <v>435</v>
      </c>
      <c r="B19" s="59"/>
      <c r="C19" s="55">
        <v>6.9999999999999999E-4</v>
      </c>
      <c r="D19" s="56">
        <v>6.9999999999999999E-4</v>
      </c>
      <c r="E19" s="56">
        <f>0.00809*N18</f>
        <v>1.2135E-5</v>
      </c>
      <c r="F19" s="56">
        <v>2.4E-2</v>
      </c>
      <c r="G19" s="56">
        <v>6.9999999999999999E-4</v>
      </c>
      <c r="H19" s="56"/>
      <c r="I19" s="56">
        <v>5.4999999999999997E-3</v>
      </c>
      <c r="J19" s="292">
        <v>1.49198E-3</v>
      </c>
      <c r="K19" s="292"/>
      <c r="L19" s="292"/>
      <c r="M19" s="65"/>
      <c r="N19" s="293" t="s">
        <v>436</v>
      </c>
      <c r="O19" s="293"/>
      <c r="P19" s="293"/>
      <c r="Q19" s="293"/>
      <c r="R19" s="69"/>
      <c r="S19" s="69"/>
      <c r="T19" s="69"/>
      <c r="U19" s="69"/>
      <c r="V19" s="69"/>
    </row>
    <row r="20" spans="1:22" ht="16.2" hidden="1">
      <c r="A20" s="58" t="s">
        <v>437</v>
      </c>
      <c r="B20" s="59"/>
      <c r="C20" s="55">
        <v>2.2000000000000001E-3</v>
      </c>
      <c r="D20" s="56">
        <v>2.2000000000000001E-3</v>
      </c>
      <c r="E20" s="56">
        <v>2.0500000000000002E-3</v>
      </c>
      <c r="F20" s="56">
        <v>3.1E-2</v>
      </c>
      <c r="G20" s="56">
        <v>2.5100000000000001E-3</v>
      </c>
      <c r="H20" s="56"/>
      <c r="I20" s="56">
        <v>6.6800000000000002E-3</v>
      </c>
      <c r="J20" s="292">
        <v>3.79E-3</v>
      </c>
      <c r="K20" s="292"/>
      <c r="L20" s="292"/>
      <c r="M20" s="65"/>
      <c r="N20" s="294">
        <v>140</v>
      </c>
      <c r="O20" s="294"/>
      <c r="P20" s="294"/>
      <c r="Q20" s="294"/>
      <c r="R20" s="69"/>
      <c r="S20" s="69"/>
      <c r="T20" s="69"/>
      <c r="U20" s="69"/>
      <c r="V20" s="69"/>
    </row>
    <row r="21" spans="1:22" ht="16.2" hidden="1">
      <c r="A21" s="57" t="s">
        <v>438</v>
      </c>
      <c r="B21" s="57"/>
      <c r="C21" s="49">
        <v>0.28000000000000003</v>
      </c>
      <c r="D21" s="49">
        <v>0.28000000000000003</v>
      </c>
      <c r="E21" s="50"/>
      <c r="F21" s="50"/>
      <c r="G21" s="50"/>
      <c r="H21" s="50"/>
      <c r="I21" s="50"/>
      <c r="J21" s="50"/>
      <c r="K21" s="50"/>
      <c r="L21" s="50"/>
      <c r="M21" s="72"/>
      <c r="N21" s="65"/>
      <c r="O21" s="65"/>
      <c r="P21" s="65"/>
      <c r="Q21" s="65"/>
      <c r="R21" s="69"/>
      <c r="S21" s="69"/>
      <c r="T21" s="69"/>
      <c r="U21" s="69"/>
      <c r="V21" s="69"/>
    </row>
    <row r="22" spans="1:22" ht="16.2" hidden="1">
      <c r="A22" s="54" t="s">
        <v>439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ht="16.2" hidden="1">
      <c r="A23" s="54" t="s">
        <v>440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ht="16.2" hidden="1">
      <c r="A24" s="54" t="s">
        <v>441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>
      <c r="A27" s="69"/>
      <c r="B27" s="2"/>
      <c r="C27" s="2"/>
      <c r="D27" s="2"/>
      <c r="E27" s="2"/>
      <c r="F27" s="2"/>
      <c r="G27" s="64" t="s">
        <v>442</v>
      </c>
      <c r="H27" s="62"/>
      <c r="I27" s="62"/>
      <c r="J27" s="62"/>
      <c r="K27" s="62"/>
      <c r="L27" s="62"/>
      <c r="M27" s="63"/>
      <c r="N27" s="64" t="s">
        <v>449</v>
      </c>
      <c r="O27" s="74"/>
      <c r="P27" s="62"/>
      <c r="Q27" s="62"/>
      <c r="R27" s="62"/>
      <c r="S27" s="62"/>
      <c r="T27" s="63"/>
      <c r="U27" s="69"/>
      <c r="V27" s="69"/>
    </row>
    <row r="28" spans="1:22" ht="52.8">
      <c r="A28" s="69"/>
      <c r="B28" s="61" t="s">
        <v>443</v>
      </c>
      <c r="C28" s="61" t="s">
        <v>444</v>
      </c>
      <c r="D28" s="61" t="s">
        <v>445</v>
      </c>
      <c r="E28" s="61" t="s">
        <v>447</v>
      </c>
      <c r="F28" s="61" t="s">
        <v>448</v>
      </c>
      <c r="G28" s="47" t="s">
        <v>362</v>
      </c>
      <c r="H28" s="47" t="s">
        <v>330</v>
      </c>
      <c r="I28" s="48" t="s">
        <v>446</v>
      </c>
      <c r="J28" s="47" t="s">
        <v>131</v>
      </c>
      <c r="K28" s="47" t="s">
        <v>135</v>
      </c>
      <c r="L28" s="47" t="s">
        <v>146</v>
      </c>
      <c r="M28" s="52" t="s">
        <v>434</v>
      </c>
      <c r="N28" s="47" t="s">
        <v>362</v>
      </c>
      <c r="O28" s="47" t="s">
        <v>330</v>
      </c>
      <c r="P28" s="48" t="s">
        <v>446</v>
      </c>
      <c r="Q28" s="47" t="s">
        <v>131</v>
      </c>
      <c r="R28" s="47" t="s">
        <v>135</v>
      </c>
      <c r="S28" s="47" t="s">
        <v>146</v>
      </c>
      <c r="T28" s="52" t="s">
        <v>434</v>
      </c>
      <c r="U28" s="69"/>
      <c r="V28" s="69"/>
    </row>
    <row r="29" spans="1:22">
      <c r="A29" s="69"/>
      <c r="B29" s="38"/>
      <c r="C29" s="83">
        <v>285</v>
      </c>
      <c r="D29" s="83">
        <v>2.1</v>
      </c>
      <c r="E29" s="83"/>
      <c r="F29" s="83">
        <v>500</v>
      </c>
      <c r="G29" s="83">
        <f>$D$29*E12</f>
        <v>0.58800000000000008</v>
      </c>
      <c r="H29" s="83">
        <f>$D$29*F12</f>
        <v>0.58800000000000008</v>
      </c>
      <c r="I29" s="83">
        <f>$D$29*G11</f>
        <v>0.60899999999999999</v>
      </c>
      <c r="J29" s="83">
        <f>$D$29*I11</f>
        <v>9.261000000000001</v>
      </c>
      <c r="K29" s="83">
        <f>$D$29*J11</f>
        <v>0.73499999999999999</v>
      </c>
      <c r="L29" s="83">
        <f>$D$29*K11</f>
        <v>1.9949999999999999</v>
      </c>
      <c r="M29" s="124">
        <f>G35</f>
        <v>1.3552560000000002E-2</v>
      </c>
      <c r="N29" s="83">
        <f>$G$29*F29/2000</f>
        <v>0.14700000000000002</v>
      </c>
      <c r="O29" s="83">
        <f>$G$29*F29/2000</f>
        <v>0.14700000000000002</v>
      </c>
      <c r="P29" s="88">
        <f>$F$29*I29/2000</f>
        <v>0.15225</v>
      </c>
      <c r="Q29" s="88">
        <f>$F$29*J29/2000</f>
        <v>2.3152500000000003</v>
      </c>
      <c r="R29" s="88">
        <f>$F$29*K29/2000</f>
        <v>0.18375</v>
      </c>
      <c r="S29" s="83">
        <f>$F$29*L29/2000</f>
        <v>0.49874999999999992</v>
      </c>
      <c r="T29" s="124">
        <f>H35</f>
        <v>3.3881400000000004E-3</v>
      </c>
      <c r="U29" s="69"/>
      <c r="V29" s="69"/>
    </row>
    <row r="32" spans="1:22">
      <c r="G32" s="288" t="s">
        <v>507</v>
      </c>
      <c r="H32" s="289"/>
    </row>
    <row r="33" spans="2:8">
      <c r="G33" s="290"/>
      <c r="H33" s="291"/>
    </row>
    <row r="34" spans="2:8">
      <c r="G34" s="151" t="s">
        <v>55</v>
      </c>
      <c r="H34" s="152" t="s">
        <v>79</v>
      </c>
    </row>
    <row r="35" spans="2:8">
      <c r="B35" s="257" t="s">
        <v>486</v>
      </c>
      <c r="C35" s="258"/>
      <c r="D35" s="258"/>
      <c r="E35" s="258"/>
      <c r="F35" s="259"/>
      <c r="G35" s="150">
        <f>SUM(G36:G45)</f>
        <v>1.3552560000000002E-2</v>
      </c>
      <c r="H35" s="150">
        <f>SUM(H36:H45)</f>
        <v>3.3881400000000004E-3</v>
      </c>
    </row>
    <row r="36" spans="2:8">
      <c r="B36" s="156" t="s">
        <v>182</v>
      </c>
      <c r="C36" s="115">
        <v>9.3300000000000002E-4</v>
      </c>
      <c r="D36" s="109" t="s">
        <v>479</v>
      </c>
      <c r="E36" s="110" t="s">
        <v>505</v>
      </c>
      <c r="F36" s="111"/>
      <c r="G36" s="120">
        <f>C36*$D$29</f>
        <v>1.9593000000000002E-3</v>
      </c>
      <c r="H36" s="120">
        <f>G36*$F$29/2000</f>
        <v>4.8982500000000005E-4</v>
      </c>
    </row>
    <row r="37" spans="2:8">
      <c r="B37" s="156" t="s">
        <v>281</v>
      </c>
      <c r="C37" s="115">
        <v>4.0900000000000002E-4</v>
      </c>
      <c r="D37" s="109" t="s">
        <v>479</v>
      </c>
      <c r="E37" s="110" t="s">
        <v>505</v>
      </c>
      <c r="F37" s="114"/>
      <c r="G37" s="19">
        <f t="shared" ref="G37:G45" si="0">C37*$D$29</f>
        <v>8.5890000000000011E-4</v>
      </c>
      <c r="H37" s="19">
        <f t="shared" ref="H37:H45" si="1">G37*$F$29/2000</f>
        <v>2.1472500000000003E-4</v>
      </c>
    </row>
    <row r="38" spans="2:8">
      <c r="B38" s="156" t="s">
        <v>285</v>
      </c>
      <c r="C38" s="115">
        <v>2.8499999999999999E-4</v>
      </c>
      <c r="D38" s="109" t="s">
        <v>479</v>
      </c>
      <c r="E38" s="110" t="s">
        <v>505</v>
      </c>
      <c r="F38" s="114"/>
      <c r="G38" s="19">
        <f t="shared" si="0"/>
        <v>5.9849999999999997E-4</v>
      </c>
      <c r="H38" s="19">
        <f t="shared" si="1"/>
        <v>1.4962499999999999E-4</v>
      </c>
    </row>
    <row r="39" spans="2:8">
      <c r="B39" s="156" t="s">
        <v>506</v>
      </c>
      <c r="C39" s="115">
        <v>2.5799999999999998E-3</v>
      </c>
      <c r="D39" s="109" t="s">
        <v>479</v>
      </c>
      <c r="E39" s="110" t="s">
        <v>505</v>
      </c>
      <c r="F39" s="114"/>
      <c r="G39" s="19">
        <f t="shared" si="0"/>
        <v>5.4180000000000001E-3</v>
      </c>
      <c r="H39" s="19">
        <f t="shared" si="1"/>
        <v>1.3545E-3</v>
      </c>
    </row>
    <row r="40" spans="2:8">
      <c r="B40" s="156" t="s">
        <v>148</v>
      </c>
      <c r="C40" s="115">
        <v>3.9100000000000002E-5</v>
      </c>
      <c r="D40" s="109" t="s">
        <v>479</v>
      </c>
      <c r="E40" s="110" t="s">
        <v>505</v>
      </c>
      <c r="F40" s="114"/>
      <c r="G40" s="19">
        <f t="shared" si="0"/>
        <v>8.2110000000000012E-5</v>
      </c>
      <c r="H40" s="19">
        <f t="shared" si="1"/>
        <v>2.0527500000000003E-5</v>
      </c>
    </row>
    <row r="41" spans="2:8">
      <c r="B41" s="156" t="s">
        <v>230</v>
      </c>
      <c r="C41" s="115">
        <v>1.1800000000000001E-3</v>
      </c>
      <c r="D41" s="109" t="s">
        <v>479</v>
      </c>
      <c r="E41" s="110" t="s">
        <v>505</v>
      </c>
      <c r="F41" s="112"/>
      <c r="G41" s="19">
        <f t="shared" si="0"/>
        <v>2.4780000000000002E-3</v>
      </c>
      <c r="H41" s="19">
        <f t="shared" si="1"/>
        <v>6.1950000000000004E-4</v>
      </c>
    </row>
    <row r="42" spans="2:8">
      <c r="B42" s="156" t="s">
        <v>166</v>
      </c>
      <c r="C42" s="115">
        <v>7.67E-4</v>
      </c>
      <c r="D42" s="109" t="s">
        <v>479</v>
      </c>
      <c r="E42" s="110" t="s">
        <v>505</v>
      </c>
      <c r="F42" s="113"/>
      <c r="G42" s="19">
        <f t="shared" si="0"/>
        <v>1.6107000000000001E-3</v>
      </c>
      <c r="H42" s="19">
        <f t="shared" si="1"/>
        <v>4.0267500000000002E-4</v>
      </c>
    </row>
    <row r="43" spans="2:8">
      <c r="B43" s="156" t="s">
        <v>174</v>
      </c>
      <c r="C43" s="115">
        <v>9.2499999999999999E-5</v>
      </c>
      <c r="D43" s="109" t="s">
        <v>479</v>
      </c>
      <c r="E43" s="110" t="s">
        <v>505</v>
      </c>
      <c r="F43" s="113"/>
      <c r="G43" s="19">
        <f t="shared" si="0"/>
        <v>1.9425000000000001E-4</v>
      </c>
      <c r="H43" s="19">
        <f t="shared" si="1"/>
        <v>4.8562500000000001E-5</v>
      </c>
    </row>
    <row r="44" spans="2:8">
      <c r="B44" s="156" t="s">
        <v>264</v>
      </c>
      <c r="C44" s="115">
        <v>8.4800000000000001E-5</v>
      </c>
      <c r="D44" s="109" t="s">
        <v>479</v>
      </c>
      <c r="E44" s="110" t="s">
        <v>505</v>
      </c>
      <c r="F44" s="113"/>
      <c r="G44" s="19">
        <f t="shared" si="0"/>
        <v>1.7808E-4</v>
      </c>
      <c r="H44" s="19">
        <f t="shared" si="1"/>
        <v>4.4520000000000001E-5</v>
      </c>
    </row>
    <row r="45" spans="2:8">
      <c r="B45" s="156" t="s">
        <v>481</v>
      </c>
      <c r="C45" s="115">
        <f>0.000168-C44</f>
        <v>8.3199999999999989E-5</v>
      </c>
      <c r="D45" s="109" t="s">
        <v>479</v>
      </c>
      <c r="E45" s="110" t="s">
        <v>505</v>
      </c>
      <c r="F45" s="113"/>
      <c r="G45" s="19">
        <f t="shared" si="0"/>
        <v>1.7471999999999998E-4</v>
      </c>
      <c r="H45" s="19">
        <f t="shared" si="1"/>
        <v>4.3679999999999995E-5</v>
      </c>
    </row>
  </sheetData>
  <mergeCells count="18">
    <mergeCell ref="C17:I17"/>
    <mergeCell ref="J17:L17"/>
    <mergeCell ref="N17:Q17"/>
    <mergeCell ref="G32:H33"/>
    <mergeCell ref="B35:F35"/>
    <mergeCell ref="J18:L18"/>
    <mergeCell ref="N18:Q18"/>
    <mergeCell ref="J19:L19"/>
    <mergeCell ref="N19:Q19"/>
    <mergeCell ref="J20:L20"/>
    <mergeCell ref="N20:Q20"/>
    <mergeCell ref="B10:D10"/>
    <mergeCell ref="B11:D11"/>
    <mergeCell ref="B12:D12"/>
    <mergeCell ref="O9:R9"/>
    <mergeCell ref="O10:R10"/>
    <mergeCell ref="O11:R11"/>
    <mergeCell ref="O12:R1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C73D-8182-4D2B-B651-BC535D4BB3B1}">
  <dimension ref="A2:T203"/>
  <sheetViews>
    <sheetView workbookViewId="0">
      <selection activeCell="D53" sqref="D53"/>
    </sheetView>
  </sheetViews>
  <sheetFormatPr defaultRowHeight="14.4"/>
  <cols>
    <col min="1" max="1" width="14.44140625" customWidth="1"/>
    <col min="2" max="2" width="20" customWidth="1"/>
    <col min="3" max="3" width="22" customWidth="1"/>
    <col min="4" max="4" width="15.6640625" customWidth="1"/>
    <col min="5" max="5" width="26.33203125" customWidth="1"/>
    <col min="8" max="8" width="34.109375" customWidth="1"/>
    <col min="9" max="9" width="13.44140625" customWidth="1"/>
  </cols>
  <sheetData>
    <row r="2" spans="1:11">
      <c r="A2" s="11" t="s">
        <v>0</v>
      </c>
      <c r="B2" s="4"/>
      <c r="C2" s="4" t="s">
        <v>1</v>
      </c>
      <c r="D2" s="13">
        <v>26330</v>
      </c>
      <c r="E2" s="14" t="s">
        <v>2</v>
      </c>
      <c r="F2" s="15">
        <v>300</v>
      </c>
    </row>
    <row r="3" spans="1:11">
      <c r="A3" s="12" t="s">
        <v>3</v>
      </c>
      <c r="B3" s="1" t="s">
        <v>4</v>
      </c>
      <c r="E3" s="21" t="s">
        <v>553</v>
      </c>
      <c r="F3" s="7">
        <f>8760*0.05</f>
        <v>438</v>
      </c>
      <c r="H3" s="11" t="s">
        <v>5</v>
      </c>
      <c r="I3" s="4"/>
      <c r="J3" s="5"/>
    </row>
    <row r="4" spans="1:11">
      <c r="A4" s="6"/>
      <c r="F4" s="7"/>
      <c r="H4" s="6"/>
      <c r="J4" s="7"/>
    </row>
    <row r="5" spans="1:11">
      <c r="A5" s="6"/>
      <c r="F5" s="7"/>
      <c r="H5" s="6" t="s">
        <v>6</v>
      </c>
      <c r="J5" s="7"/>
    </row>
    <row r="6" spans="1:11">
      <c r="A6" s="6"/>
      <c r="F6" s="7"/>
      <c r="H6" s="8" t="s">
        <v>7</v>
      </c>
      <c r="I6" s="9">
        <v>7.05</v>
      </c>
      <c r="J6" s="10" t="s">
        <v>8</v>
      </c>
    </row>
    <row r="7" spans="1:11">
      <c r="A7" s="6" t="s">
        <v>9</v>
      </c>
      <c r="B7" t="s">
        <v>10</v>
      </c>
      <c r="C7" t="s">
        <v>11</v>
      </c>
      <c r="F7" s="7"/>
    </row>
    <row r="8" spans="1:11">
      <c r="A8" s="6"/>
      <c r="B8" t="s">
        <v>12</v>
      </c>
      <c r="C8" t="s">
        <v>13</v>
      </c>
      <c r="F8" s="7"/>
    </row>
    <row r="9" spans="1:11">
      <c r="A9" s="6"/>
      <c r="B9">
        <v>20100101</v>
      </c>
      <c r="C9" t="s">
        <v>14</v>
      </c>
      <c r="F9" s="7"/>
    </row>
    <row r="10" spans="1:11">
      <c r="A10" s="6"/>
      <c r="B10" t="s">
        <v>10</v>
      </c>
      <c r="C10" t="s">
        <v>15</v>
      </c>
      <c r="F10" s="7"/>
      <c r="H10" s="11" t="s">
        <v>16</v>
      </c>
      <c r="I10" s="4"/>
      <c r="J10" s="4"/>
      <c r="K10" s="5"/>
    </row>
    <row r="11" spans="1:11">
      <c r="A11" s="6"/>
      <c r="B11">
        <v>7.3800000000000004E-2</v>
      </c>
      <c r="C11" t="s">
        <v>17</v>
      </c>
      <c r="F11" s="7"/>
      <c r="H11" s="6" t="s">
        <v>18</v>
      </c>
      <c r="I11">
        <v>84000</v>
      </c>
      <c r="J11" t="s">
        <v>19</v>
      </c>
      <c r="K11" s="7"/>
    </row>
    <row r="12" spans="1:11">
      <c r="A12" s="6"/>
      <c r="B12">
        <v>138211</v>
      </c>
      <c r="C12" t="s">
        <v>551</v>
      </c>
      <c r="F12" s="7"/>
      <c r="H12" s="6" t="s">
        <v>21</v>
      </c>
      <c r="I12">
        <v>5.0000000000000001E-3</v>
      </c>
      <c r="J12" t="s">
        <v>22</v>
      </c>
      <c r="K12" s="7"/>
    </row>
    <row r="13" spans="1:11">
      <c r="A13" s="6"/>
      <c r="F13" s="7"/>
      <c r="H13" s="6" t="s">
        <v>23</v>
      </c>
      <c r="I13">
        <v>1060</v>
      </c>
      <c r="J13" t="s">
        <v>24</v>
      </c>
      <c r="K13" s="7"/>
    </row>
    <row r="14" spans="1:11">
      <c r="A14" s="6"/>
      <c r="B14" t="s">
        <v>25</v>
      </c>
      <c r="D14" t="s">
        <v>26</v>
      </c>
      <c r="F14" s="7"/>
      <c r="H14" s="6" t="s">
        <v>27</v>
      </c>
      <c r="I14">
        <v>8760</v>
      </c>
      <c r="J14" t="s">
        <v>28</v>
      </c>
      <c r="K14" s="7"/>
    </row>
    <row r="15" spans="1:11">
      <c r="A15" s="6" t="s">
        <v>29</v>
      </c>
      <c r="B15">
        <f>'REF 1'!$F$9*'REF 1'!C1</f>
        <v>80746.105592174281</v>
      </c>
      <c r="C15" t="s">
        <v>30</v>
      </c>
      <c r="D15">
        <f>$B$32/12</f>
        <v>36.5</v>
      </c>
      <c r="F15" s="7"/>
      <c r="H15" s="8" t="s">
        <v>31</v>
      </c>
      <c r="I15" s="9">
        <v>8.34</v>
      </c>
      <c r="J15" s="9" t="s">
        <v>32</v>
      </c>
      <c r="K15" s="10"/>
    </row>
    <row r="16" spans="1:11">
      <c r="A16" s="6"/>
      <c r="B16">
        <f>'REF 1'!$F$9*'REF 1'!C2</f>
        <v>72931.966341318708</v>
      </c>
      <c r="C16" t="s">
        <v>33</v>
      </c>
      <c r="D16">
        <f t="shared" ref="D16:D26" si="0">$B$32/12</f>
        <v>36.5</v>
      </c>
      <c r="F16" s="7"/>
    </row>
    <row r="17" spans="1:20">
      <c r="A17" s="6"/>
      <c r="B17">
        <f>'REF 1'!$F$9*'REF 1'!C3</f>
        <v>80746.105592174281</v>
      </c>
      <c r="C17" t="s">
        <v>34</v>
      </c>
      <c r="D17">
        <f t="shared" si="0"/>
        <v>36.5</v>
      </c>
      <c r="F17" s="7"/>
      <c r="H17" s="11" t="s">
        <v>35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</row>
    <row r="18" spans="1:20">
      <c r="A18" s="6"/>
      <c r="B18">
        <f>'REF 1'!$F$9*'REF 1'!C4</f>
        <v>78141.392508555757</v>
      </c>
      <c r="C18" t="s">
        <v>36</v>
      </c>
      <c r="D18">
        <f t="shared" si="0"/>
        <v>36.5</v>
      </c>
      <c r="F18" s="7"/>
      <c r="H18" s="6"/>
      <c r="T18" s="7"/>
    </row>
    <row r="19" spans="1:20">
      <c r="A19" s="6"/>
      <c r="B19">
        <f>'REF 1'!$F$9*'REF 1'!C5</f>
        <v>80746.105592174281</v>
      </c>
      <c r="C19" t="s">
        <v>37</v>
      </c>
      <c r="D19">
        <f t="shared" si="0"/>
        <v>36.5</v>
      </c>
      <c r="F19" s="7"/>
      <c r="H19" s="6" t="s">
        <v>38</v>
      </c>
      <c r="T19" s="7"/>
    </row>
    <row r="20" spans="1:20">
      <c r="A20" s="6"/>
      <c r="B20">
        <f>'REF 1'!$F$9*'REF 1'!C6</f>
        <v>78141.392508555757</v>
      </c>
      <c r="C20" t="s">
        <v>39</v>
      </c>
      <c r="D20">
        <f t="shared" si="0"/>
        <v>36.5</v>
      </c>
      <c r="F20" s="7"/>
      <c r="H20" s="6"/>
      <c r="T20" s="7"/>
    </row>
    <row r="21" spans="1:20">
      <c r="A21" s="6"/>
      <c r="B21">
        <f>'REF 1'!$F$9*'REF 1'!C7</f>
        <v>80746.105592174281</v>
      </c>
      <c r="C21" t="s">
        <v>40</v>
      </c>
      <c r="D21">
        <f t="shared" si="0"/>
        <v>36.5</v>
      </c>
      <c r="F21" s="7"/>
      <c r="H21" s="6" t="s">
        <v>41</v>
      </c>
      <c r="I21" t="s">
        <v>42</v>
      </c>
      <c r="J21" t="s">
        <v>43</v>
      </c>
      <c r="K21" t="s">
        <v>44</v>
      </c>
      <c r="T21" s="7"/>
    </row>
    <row r="22" spans="1:20">
      <c r="A22" s="6"/>
      <c r="B22">
        <f>'REF 1'!$F$9*'REF 1'!C8</f>
        <v>80746.105592174281</v>
      </c>
      <c r="C22" t="s">
        <v>45</v>
      </c>
      <c r="D22">
        <f t="shared" si="0"/>
        <v>36.5</v>
      </c>
      <c r="F22" s="7"/>
      <c r="H22" s="6" t="s">
        <v>46</v>
      </c>
      <c r="I22">
        <f>I11</f>
        <v>84000</v>
      </c>
      <c r="J22" t="s">
        <v>47</v>
      </c>
      <c r="K22" t="s">
        <v>48</v>
      </c>
      <c r="T22" s="7"/>
    </row>
    <row r="23" spans="1:20">
      <c r="A23" s="6"/>
      <c r="B23">
        <f>'REF 1'!$F$9*'REF 1'!C9</f>
        <v>78141.392508555757</v>
      </c>
      <c r="C23" t="s">
        <v>49</v>
      </c>
      <c r="D23">
        <f t="shared" si="0"/>
        <v>36.5</v>
      </c>
      <c r="F23" s="7"/>
      <c r="H23" s="6" t="s">
        <v>50</v>
      </c>
      <c r="I23">
        <f>I15</f>
        <v>8.34</v>
      </c>
      <c r="J23" t="s">
        <v>51</v>
      </c>
      <c r="K23" t="s">
        <v>52</v>
      </c>
      <c r="T23" s="7"/>
    </row>
    <row r="24" spans="1:20">
      <c r="A24" s="6"/>
      <c r="B24">
        <f>'REF 1'!$F$9*'REF 1'!C10</f>
        <v>80746.105592174281</v>
      </c>
      <c r="C24" t="s">
        <v>53</v>
      </c>
      <c r="D24">
        <f t="shared" si="0"/>
        <v>36.5</v>
      </c>
      <c r="F24" s="7"/>
      <c r="H24" s="6" t="s">
        <v>54</v>
      </c>
      <c r="I24">
        <f>I22*I23*60</f>
        <v>42033600</v>
      </c>
      <c r="J24" t="s">
        <v>55</v>
      </c>
      <c r="T24" s="7"/>
    </row>
    <row r="25" spans="1:20">
      <c r="A25" s="6"/>
      <c r="B25">
        <f>'REF 1'!$F$9*'REF 1'!C11</f>
        <v>78141.392508555757</v>
      </c>
      <c r="C25" t="s">
        <v>56</v>
      </c>
      <c r="D25">
        <f t="shared" si="0"/>
        <v>36.5</v>
      </c>
      <c r="F25" s="7"/>
      <c r="H25" s="6" t="s">
        <v>57</v>
      </c>
      <c r="I25">
        <f>I12</f>
        <v>5.0000000000000001E-3</v>
      </c>
      <c r="J25" t="s">
        <v>22</v>
      </c>
      <c r="K25" t="s">
        <v>58</v>
      </c>
      <c r="T25" s="7"/>
    </row>
    <row r="26" spans="1:20">
      <c r="A26" s="6" t="s">
        <v>59</v>
      </c>
      <c r="B26">
        <f>'REF 1'!$F$9*'REF 1'!C12</f>
        <v>80746.105592174281</v>
      </c>
      <c r="C26" t="s">
        <v>60</v>
      </c>
      <c r="D26">
        <f t="shared" si="0"/>
        <v>36.5</v>
      </c>
      <c r="F26" s="7"/>
      <c r="H26" s="6" t="s">
        <v>61</v>
      </c>
      <c r="I26">
        <f>I24*I25/100</f>
        <v>2101.6799999999998</v>
      </c>
      <c r="J26" t="s">
        <v>55</v>
      </c>
      <c r="T26" s="7"/>
    </row>
    <row r="27" spans="1:20">
      <c r="A27" s="6" t="s">
        <v>62</v>
      </c>
      <c r="B27">
        <f>SUM(B15:B26)</f>
        <v>950720.27552076173</v>
      </c>
      <c r="C27" t="s">
        <v>63</v>
      </c>
      <c r="D27">
        <v>438</v>
      </c>
      <c r="F27" s="7"/>
      <c r="H27" s="6" t="s">
        <v>64</v>
      </c>
      <c r="I27">
        <f>I13</f>
        <v>1060</v>
      </c>
      <c r="J27" t="s">
        <v>65</v>
      </c>
      <c r="K27" t="s">
        <v>66</v>
      </c>
      <c r="T27" s="7"/>
    </row>
    <row r="28" spans="1:20">
      <c r="A28" s="6"/>
      <c r="F28" s="7"/>
      <c r="H28" s="6" t="s">
        <v>67</v>
      </c>
      <c r="I28">
        <f>I11*60*I12/100*I15*I13/1000000</f>
        <v>2.2277807999999997</v>
      </c>
      <c r="J28" t="s">
        <v>55</v>
      </c>
      <c r="T28" s="7"/>
    </row>
    <row r="29" spans="1:20">
      <c r="A29" s="6"/>
      <c r="F29" s="7"/>
      <c r="H29" s="6" t="s">
        <v>68</v>
      </c>
      <c r="I29">
        <f>I14</f>
        <v>8760</v>
      </c>
      <c r="J29" t="s">
        <v>69</v>
      </c>
      <c r="K29" t="s">
        <v>70</v>
      </c>
      <c r="T29" s="7"/>
    </row>
    <row r="30" spans="1:20">
      <c r="A30" s="6" t="s">
        <v>71</v>
      </c>
      <c r="B30">
        <v>7</v>
      </c>
      <c r="C30" t="s">
        <v>72</v>
      </c>
      <c r="F30" s="7"/>
      <c r="H30" s="6"/>
      <c r="T30" s="7"/>
    </row>
    <row r="31" spans="1:20">
      <c r="A31" s="6" t="s">
        <v>73</v>
      </c>
      <c r="B31">
        <v>365</v>
      </c>
      <c r="C31" t="s">
        <v>74</v>
      </c>
      <c r="F31" s="7"/>
      <c r="H31" s="12" t="s">
        <v>75</v>
      </c>
      <c r="I31" s="1">
        <f>I28*I29/2000</f>
        <v>9.757679903999998</v>
      </c>
      <c r="J31" s="1" t="s">
        <v>76</v>
      </c>
      <c r="T31" s="7"/>
    </row>
    <row r="32" spans="1:20">
      <c r="A32" s="6"/>
      <c r="B32" s="1">
        <f>'REF 1'!F9/'REF 1'!F8</f>
        <v>438</v>
      </c>
      <c r="C32" s="1" t="s">
        <v>77</v>
      </c>
      <c r="F32" s="7"/>
      <c r="H32" s="16" t="s">
        <v>78</v>
      </c>
      <c r="I32" s="17">
        <f>I31</f>
        <v>9.757679903999998</v>
      </c>
      <c r="J32" s="17" t="s">
        <v>79</v>
      </c>
      <c r="K32" s="9"/>
      <c r="L32" s="9"/>
      <c r="M32" s="9"/>
      <c r="N32" s="9"/>
      <c r="O32" s="9"/>
      <c r="P32" s="9"/>
      <c r="Q32" s="9"/>
      <c r="R32" s="9"/>
      <c r="S32" s="9"/>
      <c r="T32" s="10"/>
    </row>
    <row r="33" spans="1:6">
      <c r="A33" s="6"/>
      <c r="F33" s="7"/>
    </row>
    <row r="34" spans="1:6">
      <c r="A34" s="8"/>
      <c r="B34" s="9"/>
      <c r="C34" s="9"/>
      <c r="D34" s="9"/>
      <c r="E34" s="9"/>
      <c r="F34" s="10"/>
    </row>
    <row r="36" spans="1:6">
      <c r="A36" s="11" t="s">
        <v>0</v>
      </c>
      <c r="B36" s="14"/>
      <c r="C36" s="4" t="s">
        <v>1</v>
      </c>
      <c r="D36" s="4" t="s">
        <v>80</v>
      </c>
      <c r="E36" s="14" t="s">
        <v>2</v>
      </c>
      <c r="F36" s="15">
        <v>918</v>
      </c>
    </row>
    <row r="37" spans="1:6">
      <c r="A37" s="12" t="s">
        <v>3</v>
      </c>
      <c r="B37" s="1" t="s">
        <v>81</v>
      </c>
      <c r="E37" s="21" t="s">
        <v>553</v>
      </c>
      <c r="F37" s="7">
        <v>8760</v>
      </c>
    </row>
    <row r="38" spans="1:6">
      <c r="A38" s="6"/>
      <c r="F38" s="7"/>
    </row>
    <row r="39" spans="1:6">
      <c r="A39" s="6"/>
      <c r="F39" s="7"/>
    </row>
    <row r="40" spans="1:6">
      <c r="A40" s="6"/>
      <c r="F40" s="7"/>
    </row>
    <row r="41" spans="1:6">
      <c r="A41" s="6" t="s">
        <v>9</v>
      </c>
      <c r="B41" t="s">
        <v>10</v>
      </c>
      <c r="C41" t="s">
        <v>11</v>
      </c>
      <c r="F41" s="7"/>
    </row>
    <row r="42" spans="1:6">
      <c r="A42" s="6"/>
      <c r="B42" t="s">
        <v>82</v>
      </c>
      <c r="C42" t="s">
        <v>13</v>
      </c>
      <c r="F42" s="7"/>
    </row>
    <row r="43" spans="1:6">
      <c r="A43" s="6"/>
      <c r="B43">
        <v>20100201</v>
      </c>
      <c r="C43" t="s">
        <v>14</v>
      </c>
      <c r="F43" s="7"/>
    </row>
    <row r="44" spans="1:6">
      <c r="A44" s="6"/>
      <c r="B44" t="s">
        <v>83</v>
      </c>
      <c r="C44" t="s">
        <v>15</v>
      </c>
      <c r="F44" s="7"/>
    </row>
    <row r="45" spans="1:6">
      <c r="A45" s="6"/>
      <c r="B45" t="s">
        <v>83</v>
      </c>
      <c r="C45" t="s">
        <v>17</v>
      </c>
      <c r="F45" s="7"/>
    </row>
    <row r="46" spans="1:6">
      <c r="A46" s="6"/>
      <c r="B46">
        <v>1038</v>
      </c>
      <c r="C46" t="s">
        <v>552</v>
      </c>
      <c r="F46" s="7"/>
    </row>
    <row r="47" spans="1:6">
      <c r="A47" s="6"/>
      <c r="F47" s="7"/>
    </row>
    <row r="48" spans="1:6">
      <c r="A48" s="6"/>
      <c r="B48" t="s">
        <v>84</v>
      </c>
      <c r="F48" s="7"/>
    </row>
    <row r="49" spans="1:6">
      <c r="A49" s="6" t="s">
        <v>29</v>
      </c>
      <c r="B49">
        <f>'REF 1'!$K$8*'Input Data'!$B$66*1000000/'Input Data'!$B$46/1000*'REF 1'!C1</f>
        <v>172023.12138728323</v>
      </c>
      <c r="C49" t="s">
        <v>30</v>
      </c>
      <c r="D49">
        <f>240*8760*1000000/1038/1000*'REF 1'!C1</f>
        <v>172023.12138728323</v>
      </c>
      <c r="F49" s="7"/>
    </row>
    <row r="50" spans="1:6">
      <c r="A50" s="6"/>
      <c r="B50">
        <f>'REF 1'!$K$8*'Input Data'!$B$66*1000000/'Input Data'!$B$46/1000*'REF 1'!C2</f>
        <v>155375.7225433526</v>
      </c>
      <c r="C50" t="s">
        <v>33</v>
      </c>
      <c r="F50" s="7"/>
    </row>
    <row r="51" spans="1:6">
      <c r="A51" s="6"/>
      <c r="B51">
        <f>'REF 1'!$K$8*'Input Data'!$B$66*1000000/'Input Data'!$B$46/1000*'REF 1'!C3</f>
        <v>172023.12138728323</v>
      </c>
      <c r="C51" t="s">
        <v>34</v>
      </c>
      <c r="F51" s="7"/>
    </row>
    <row r="52" spans="1:6">
      <c r="A52" s="6"/>
      <c r="B52">
        <f>'REF 1'!$K$8*'Input Data'!$B$66*1000000/'Input Data'!$B$46/1000*'REF 1'!C4</f>
        <v>166473.98843930633</v>
      </c>
      <c r="C52" t="s">
        <v>36</v>
      </c>
      <c r="F52" s="7"/>
    </row>
    <row r="53" spans="1:6">
      <c r="A53" s="6"/>
      <c r="B53">
        <f>'REF 1'!$K$8*'Input Data'!$B$66*1000000/'Input Data'!$B$46/1000*'REF 1'!C5</f>
        <v>172023.12138728323</v>
      </c>
      <c r="C53" t="s">
        <v>37</v>
      </c>
      <c r="F53" s="7"/>
    </row>
    <row r="54" spans="1:6">
      <c r="A54" s="6"/>
      <c r="B54">
        <f>'REF 1'!$K$8*'Input Data'!$B$66*1000000/'Input Data'!$B$46/1000*'REF 1'!C6</f>
        <v>166473.98843930633</v>
      </c>
      <c r="C54" t="s">
        <v>39</v>
      </c>
      <c r="F54" s="7"/>
    </row>
    <row r="55" spans="1:6">
      <c r="A55" s="6"/>
      <c r="B55">
        <f>'REF 1'!$K$8*'Input Data'!$B$66*1000000/'Input Data'!$B$46/1000*'REF 1'!C7</f>
        <v>172023.12138728323</v>
      </c>
      <c r="C55" t="s">
        <v>40</v>
      </c>
      <c r="F55" s="7"/>
    </row>
    <row r="56" spans="1:6">
      <c r="A56" s="6"/>
      <c r="B56">
        <f>'REF 1'!$K$8*'Input Data'!$B$66*1000000/'Input Data'!$B$46/1000*'REF 1'!C8</f>
        <v>172023.12138728323</v>
      </c>
      <c r="C56" t="s">
        <v>45</v>
      </c>
      <c r="F56" s="7"/>
    </row>
    <row r="57" spans="1:6">
      <c r="A57" s="6"/>
      <c r="B57">
        <f>'REF 1'!$K$8*'Input Data'!$B$66*1000000/'Input Data'!$B$46/1000*'REF 1'!C9</f>
        <v>166473.98843930633</v>
      </c>
      <c r="C57" t="s">
        <v>49</v>
      </c>
      <c r="F57" s="7"/>
    </row>
    <row r="58" spans="1:6">
      <c r="A58" s="6"/>
      <c r="B58">
        <f>'REF 1'!$K$8*'Input Data'!$B$66*1000000/'Input Data'!$B$46/1000*'REF 1'!C10</f>
        <v>172023.12138728323</v>
      </c>
      <c r="C58" t="s">
        <v>53</v>
      </c>
      <c r="F58" s="7"/>
    </row>
    <row r="59" spans="1:6">
      <c r="A59" s="6"/>
      <c r="B59">
        <f>'REF 1'!$K$8*'Input Data'!$B$66*1000000/'Input Data'!$B$46/1000*'REF 1'!C11</f>
        <v>166473.98843930633</v>
      </c>
      <c r="C59" t="s">
        <v>56</v>
      </c>
      <c r="F59" s="7"/>
    </row>
    <row r="60" spans="1:6">
      <c r="A60" s="6" t="s">
        <v>59</v>
      </c>
      <c r="B60">
        <f>'REF 1'!$K$8*'Input Data'!$B$66*1000000/'Input Data'!$B$46/1000*'REF 1'!C12</f>
        <v>172023.12138728323</v>
      </c>
      <c r="C60" t="s">
        <v>60</v>
      </c>
      <c r="F60" s="7"/>
    </row>
    <row r="61" spans="1:6">
      <c r="A61" s="6" t="s">
        <v>62</v>
      </c>
      <c r="B61">
        <f>SUM(B49:B60)</f>
        <v>2025433.5260115608</v>
      </c>
      <c r="C61" t="s">
        <v>63</v>
      </c>
      <c r="F61" s="7"/>
    </row>
    <row r="62" spans="1:6">
      <c r="A62" s="6"/>
      <c r="F62" s="7"/>
    </row>
    <row r="63" spans="1:6">
      <c r="A63" s="6"/>
      <c r="F63" s="7"/>
    </row>
    <row r="64" spans="1:6">
      <c r="A64" s="6" t="s">
        <v>71</v>
      </c>
      <c r="B64">
        <v>7</v>
      </c>
      <c r="C64" t="s">
        <v>72</v>
      </c>
      <c r="F64" s="7"/>
    </row>
    <row r="65" spans="1:6">
      <c r="A65" s="6" t="s">
        <v>73</v>
      </c>
      <c r="B65">
        <v>365</v>
      </c>
      <c r="C65" t="s">
        <v>74</v>
      </c>
      <c r="F65" s="7"/>
    </row>
    <row r="66" spans="1:6">
      <c r="A66" s="6"/>
      <c r="B66" s="1">
        <v>8760</v>
      </c>
      <c r="C66" s="1" t="s">
        <v>77</v>
      </c>
      <c r="F66" s="7"/>
    </row>
    <row r="67" spans="1:6">
      <c r="A67" s="6"/>
      <c r="F67" s="7"/>
    </row>
    <row r="68" spans="1:6">
      <c r="A68" s="8"/>
      <c r="B68" s="9"/>
      <c r="C68" s="9"/>
      <c r="D68" s="9"/>
      <c r="E68" s="9"/>
      <c r="F68" s="10"/>
    </row>
    <row r="70" spans="1:6">
      <c r="A70" s="11" t="s">
        <v>0</v>
      </c>
      <c r="B70" s="14"/>
      <c r="C70" s="4" t="s">
        <v>1</v>
      </c>
      <c r="D70" s="4" t="s">
        <v>80</v>
      </c>
      <c r="E70" s="14" t="s">
        <v>2</v>
      </c>
      <c r="F70" s="15">
        <v>918</v>
      </c>
    </row>
    <row r="71" spans="1:6">
      <c r="A71" s="12" t="s">
        <v>3</v>
      </c>
      <c r="B71" s="1" t="s">
        <v>85</v>
      </c>
      <c r="E71" s="21" t="s">
        <v>553</v>
      </c>
      <c r="F71" s="7">
        <v>8760</v>
      </c>
    </row>
    <row r="72" spans="1:6">
      <c r="A72" s="6"/>
      <c r="F72" s="7"/>
    </row>
    <row r="73" spans="1:6">
      <c r="A73" s="6"/>
      <c r="F73" s="7"/>
    </row>
    <row r="74" spans="1:6">
      <c r="A74" s="6"/>
      <c r="F74" s="7"/>
    </row>
    <row r="75" spans="1:6">
      <c r="A75" s="6" t="s">
        <v>9</v>
      </c>
      <c r="B75" t="s">
        <v>10</v>
      </c>
      <c r="C75" t="s">
        <v>11</v>
      </c>
      <c r="F75" s="7"/>
    </row>
    <row r="76" spans="1:6">
      <c r="A76" s="6"/>
      <c r="B76" t="s">
        <v>82</v>
      </c>
      <c r="C76" t="s">
        <v>13</v>
      </c>
      <c r="F76" s="7"/>
    </row>
    <row r="77" spans="1:6">
      <c r="A77" s="6"/>
      <c r="B77">
        <v>20100201</v>
      </c>
      <c r="C77" t="s">
        <v>14</v>
      </c>
      <c r="F77" s="7"/>
    </row>
    <row r="78" spans="1:6">
      <c r="A78" s="6"/>
      <c r="B78" t="s">
        <v>83</v>
      </c>
      <c r="C78" t="s">
        <v>15</v>
      </c>
      <c r="F78" s="7"/>
    </row>
    <row r="79" spans="1:6">
      <c r="A79" s="6"/>
      <c r="B79" t="s">
        <v>83</v>
      </c>
      <c r="C79" t="s">
        <v>17</v>
      </c>
      <c r="F79" s="7"/>
    </row>
    <row r="80" spans="1:6">
      <c r="A80" s="6"/>
      <c r="B80">
        <v>1038</v>
      </c>
      <c r="C80" t="s">
        <v>20</v>
      </c>
      <c r="F80" s="7"/>
    </row>
    <row r="81" spans="1:6">
      <c r="A81" s="6"/>
      <c r="F81" s="7"/>
    </row>
    <row r="82" spans="1:6">
      <c r="A82" s="6"/>
      <c r="B82" t="s">
        <v>84</v>
      </c>
      <c r="F82" s="7"/>
    </row>
    <row r="83" spans="1:6">
      <c r="A83" s="6" t="s">
        <v>29</v>
      </c>
      <c r="B83">
        <f>'REF 1'!$K$8*'Input Data'!$B$100*1000000/'Input Data'!$B$80/1000*'REF 1'!C1</f>
        <v>172023.12138728323</v>
      </c>
      <c r="C83" t="s">
        <v>30</v>
      </c>
      <c r="F83" s="7"/>
    </row>
    <row r="84" spans="1:6">
      <c r="A84" s="6"/>
      <c r="B84">
        <f>'REF 1'!$K$8*'Input Data'!$B$100*1000000/'Input Data'!$B$80/1000*'REF 1'!C2</f>
        <v>155375.7225433526</v>
      </c>
      <c r="C84" t="s">
        <v>33</v>
      </c>
      <c r="F84" s="7"/>
    </row>
    <row r="85" spans="1:6">
      <c r="A85" s="6"/>
      <c r="B85">
        <f>'REF 1'!$K$8*'Input Data'!$B$100*1000000/'Input Data'!$B$80/1000*'REF 1'!C3</f>
        <v>172023.12138728323</v>
      </c>
      <c r="C85" t="s">
        <v>34</v>
      </c>
      <c r="F85" s="7"/>
    </row>
    <row r="86" spans="1:6">
      <c r="A86" s="6"/>
      <c r="B86">
        <f>'REF 1'!$K$8*'Input Data'!$B$100*1000000/'Input Data'!$B$80/1000*'REF 1'!C4</f>
        <v>166473.98843930633</v>
      </c>
      <c r="C86" t="s">
        <v>36</v>
      </c>
      <c r="F86" s="7"/>
    </row>
    <row r="87" spans="1:6">
      <c r="A87" s="6"/>
      <c r="B87">
        <f>'REF 1'!$K$8*'Input Data'!$B$100*1000000/'Input Data'!$B$80/1000*'REF 1'!C5</f>
        <v>172023.12138728323</v>
      </c>
      <c r="C87" t="s">
        <v>37</v>
      </c>
      <c r="F87" s="7"/>
    </row>
    <row r="88" spans="1:6">
      <c r="A88" s="6"/>
      <c r="B88">
        <f>'REF 1'!$K$8*'Input Data'!$B$100*1000000/'Input Data'!$B$80/1000*'REF 1'!C6</f>
        <v>166473.98843930633</v>
      </c>
      <c r="C88" t="s">
        <v>39</v>
      </c>
      <c r="F88" s="7"/>
    </row>
    <row r="89" spans="1:6">
      <c r="A89" s="6"/>
      <c r="B89">
        <f>'REF 1'!$K$8*'Input Data'!$B$100*1000000/'Input Data'!$B$80/1000*'REF 1'!C7</f>
        <v>172023.12138728323</v>
      </c>
      <c r="C89" t="s">
        <v>40</v>
      </c>
      <c r="F89" s="7"/>
    </row>
    <row r="90" spans="1:6">
      <c r="A90" s="6"/>
      <c r="B90">
        <f>'REF 1'!$K$8*'Input Data'!$B$100*1000000/'Input Data'!$B$80/1000*'REF 1'!C8</f>
        <v>172023.12138728323</v>
      </c>
      <c r="C90" t="s">
        <v>45</v>
      </c>
      <c r="F90" s="7"/>
    </row>
    <row r="91" spans="1:6">
      <c r="A91" s="6"/>
      <c r="B91">
        <f>'REF 1'!$K$8*'Input Data'!$B$100*1000000/'Input Data'!$B$80/1000*'REF 1'!C9</f>
        <v>166473.98843930633</v>
      </c>
      <c r="C91" t="s">
        <v>49</v>
      </c>
      <c r="F91" s="7"/>
    </row>
    <row r="92" spans="1:6">
      <c r="A92" s="6"/>
      <c r="B92">
        <f>'REF 1'!$K$8*'Input Data'!$B$100*1000000/'Input Data'!$B$80/1000*'REF 1'!C10</f>
        <v>172023.12138728323</v>
      </c>
      <c r="C92" t="s">
        <v>53</v>
      </c>
      <c r="F92" s="7"/>
    </row>
    <row r="93" spans="1:6">
      <c r="A93" s="6"/>
      <c r="B93">
        <f>'REF 1'!$K$8*'Input Data'!$B$100*1000000/'Input Data'!$B$80/1000*'REF 1'!C11</f>
        <v>166473.98843930633</v>
      </c>
      <c r="C93" t="s">
        <v>56</v>
      </c>
      <c r="F93" s="7"/>
    </row>
    <row r="94" spans="1:6">
      <c r="A94" s="6" t="s">
        <v>59</v>
      </c>
      <c r="B94">
        <f>'REF 1'!$K$8*'Input Data'!$B$100*1000000/'Input Data'!$B$80/1000*'REF 1'!C12</f>
        <v>172023.12138728323</v>
      </c>
      <c r="C94" t="s">
        <v>60</v>
      </c>
      <c r="F94" s="7"/>
    </row>
    <row r="95" spans="1:6">
      <c r="A95" s="6" t="s">
        <v>62</v>
      </c>
      <c r="B95">
        <f>SUM(B83:B94)</f>
        <v>2025433.5260115608</v>
      </c>
      <c r="C95" t="s">
        <v>63</v>
      </c>
      <c r="F95" s="7"/>
    </row>
    <row r="96" spans="1:6">
      <c r="A96" s="6"/>
      <c r="F96" s="7"/>
    </row>
    <row r="97" spans="1:6">
      <c r="A97" s="6"/>
      <c r="F97" s="7"/>
    </row>
    <row r="98" spans="1:6">
      <c r="A98" s="6" t="s">
        <v>71</v>
      </c>
      <c r="B98">
        <v>7</v>
      </c>
      <c r="C98" t="s">
        <v>72</v>
      </c>
      <c r="F98" s="7"/>
    </row>
    <row r="99" spans="1:6">
      <c r="A99" s="6" t="s">
        <v>73</v>
      </c>
      <c r="B99">
        <v>365</v>
      </c>
      <c r="C99" t="s">
        <v>74</v>
      </c>
      <c r="F99" s="7"/>
    </row>
    <row r="100" spans="1:6">
      <c r="A100" s="6"/>
      <c r="B100" s="1">
        <v>8760</v>
      </c>
      <c r="C100" s="1" t="s">
        <v>77</v>
      </c>
      <c r="F100" s="7"/>
    </row>
    <row r="101" spans="1:6">
      <c r="A101" s="6"/>
      <c r="F101" s="7"/>
    </row>
    <row r="102" spans="1:6">
      <c r="A102" s="8"/>
      <c r="B102" s="9"/>
      <c r="C102" s="9"/>
      <c r="D102" s="9"/>
      <c r="E102" s="9"/>
      <c r="F102" s="10"/>
    </row>
    <row r="104" spans="1:6">
      <c r="A104" s="11" t="s">
        <v>0</v>
      </c>
      <c r="B104" s="14"/>
      <c r="C104" s="4" t="s">
        <v>1</v>
      </c>
      <c r="D104" s="4" t="s">
        <v>80</v>
      </c>
      <c r="E104" s="14" t="s">
        <v>2</v>
      </c>
      <c r="F104" s="15">
        <v>918</v>
      </c>
    </row>
    <row r="105" spans="1:6">
      <c r="A105" s="12" t="s">
        <v>3</v>
      </c>
      <c r="B105" s="1" t="s">
        <v>86</v>
      </c>
      <c r="E105" s="21" t="s">
        <v>553</v>
      </c>
      <c r="F105" s="7">
        <v>8760</v>
      </c>
    </row>
    <row r="106" spans="1:6">
      <c r="A106" s="6"/>
      <c r="F106" s="7"/>
    </row>
    <row r="107" spans="1:6">
      <c r="A107" s="6"/>
      <c r="F107" s="7"/>
    </row>
    <row r="108" spans="1:6">
      <c r="A108" s="6"/>
      <c r="F108" s="7"/>
    </row>
    <row r="109" spans="1:6">
      <c r="A109" s="6" t="s">
        <v>9</v>
      </c>
      <c r="B109" t="s">
        <v>10</v>
      </c>
      <c r="C109" t="s">
        <v>11</v>
      </c>
      <c r="F109" s="7"/>
    </row>
    <row r="110" spans="1:6">
      <c r="A110" s="6"/>
      <c r="B110" t="s">
        <v>82</v>
      </c>
      <c r="C110" t="s">
        <v>13</v>
      </c>
      <c r="F110" s="7"/>
    </row>
    <row r="111" spans="1:6">
      <c r="A111" s="6"/>
      <c r="B111">
        <v>20100201</v>
      </c>
      <c r="C111" t="s">
        <v>14</v>
      </c>
      <c r="F111" s="7"/>
    </row>
    <row r="112" spans="1:6">
      <c r="A112" s="6"/>
      <c r="B112" t="s">
        <v>83</v>
      </c>
      <c r="C112" t="s">
        <v>15</v>
      </c>
      <c r="F112" s="7"/>
    </row>
    <row r="113" spans="1:6">
      <c r="A113" s="6"/>
      <c r="B113" t="s">
        <v>83</v>
      </c>
      <c r="C113" t="s">
        <v>17</v>
      </c>
      <c r="F113" s="7"/>
    </row>
    <row r="114" spans="1:6">
      <c r="A114" s="6"/>
      <c r="B114">
        <v>1038</v>
      </c>
      <c r="C114" t="s">
        <v>20</v>
      </c>
      <c r="F114" s="7"/>
    </row>
    <row r="115" spans="1:6">
      <c r="A115" s="6"/>
      <c r="F115" s="7"/>
    </row>
    <row r="116" spans="1:6">
      <c r="A116" s="6"/>
      <c r="B116" t="s">
        <v>84</v>
      </c>
      <c r="F116" s="7"/>
    </row>
    <row r="117" spans="1:6">
      <c r="A117" s="6" t="s">
        <v>29</v>
      </c>
      <c r="B117">
        <f>'REF 1'!$K$8*'Input Data'!$B$134*1000000/'Input Data'!$B$114/1000*'REF 1'!C1</f>
        <v>172023.12138728323</v>
      </c>
      <c r="C117" t="s">
        <v>30</v>
      </c>
      <c r="F117" s="7"/>
    </row>
    <row r="118" spans="1:6">
      <c r="A118" s="6"/>
      <c r="B118">
        <f>'REF 1'!$K$8*'Input Data'!$B$134*1000000/'Input Data'!$B$114/1000*'REF 1'!C2</f>
        <v>155375.7225433526</v>
      </c>
      <c r="C118" t="s">
        <v>33</v>
      </c>
      <c r="F118" s="7"/>
    </row>
    <row r="119" spans="1:6">
      <c r="A119" s="6"/>
      <c r="B119">
        <f>'REF 1'!$K$8*'Input Data'!$B$134*1000000/'Input Data'!$B$114/1000*'REF 1'!C3</f>
        <v>172023.12138728323</v>
      </c>
      <c r="C119" t="s">
        <v>34</v>
      </c>
      <c r="F119" s="7"/>
    </row>
    <row r="120" spans="1:6">
      <c r="A120" s="6"/>
      <c r="B120">
        <f>'REF 1'!$K$8*'Input Data'!$B$134*1000000/'Input Data'!$B$114/1000*'REF 1'!C4</f>
        <v>166473.98843930633</v>
      </c>
      <c r="C120" t="s">
        <v>36</v>
      </c>
      <c r="F120" s="7"/>
    </row>
    <row r="121" spans="1:6">
      <c r="A121" s="6"/>
      <c r="B121">
        <f>'REF 1'!$K$8*'Input Data'!$B$134*1000000/'Input Data'!$B$114/1000*'REF 1'!C5</f>
        <v>172023.12138728323</v>
      </c>
      <c r="C121" t="s">
        <v>37</v>
      </c>
      <c r="F121" s="7"/>
    </row>
    <row r="122" spans="1:6">
      <c r="A122" s="6"/>
      <c r="B122">
        <f>'REF 1'!$K$8*'Input Data'!$B$134*1000000/'Input Data'!$B$114/1000*'REF 1'!C6</f>
        <v>166473.98843930633</v>
      </c>
      <c r="C122" t="s">
        <v>39</v>
      </c>
      <c r="F122" s="7"/>
    </row>
    <row r="123" spans="1:6">
      <c r="A123" s="6"/>
      <c r="B123">
        <f>'REF 1'!$K$8*'Input Data'!$B$134*1000000/'Input Data'!$B$114/1000*'REF 1'!C7</f>
        <v>172023.12138728323</v>
      </c>
      <c r="C123" t="s">
        <v>40</v>
      </c>
      <c r="F123" s="7"/>
    </row>
    <row r="124" spans="1:6">
      <c r="A124" s="6"/>
      <c r="B124">
        <f>'REF 1'!$K$8*'Input Data'!$B$134*1000000/'Input Data'!$B$114/1000*'REF 1'!C8</f>
        <v>172023.12138728323</v>
      </c>
      <c r="C124" t="s">
        <v>45</v>
      </c>
      <c r="F124" s="7"/>
    </row>
    <row r="125" spans="1:6">
      <c r="A125" s="6"/>
      <c r="B125">
        <f>'REF 1'!$K$8*'Input Data'!$B$134*1000000/'Input Data'!$B$114/1000*'REF 1'!C9</f>
        <v>166473.98843930633</v>
      </c>
      <c r="C125" t="s">
        <v>49</v>
      </c>
      <c r="F125" s="7"/>
    </row>
    <row r="126" spans="1:6">
      <c r="A126" s="6"/>
      <c r="B126">
        <f>'REF 1'!$K$8*'Input Data'!$B$134*1000000/'Input Data'!$B$114/1000*'REF 1'!C10</f>
        <v>172023.12138728323</v>
      </c>
      <c r="C126" t="s">
        <v>53</v>
      </c>
      <c r="F126" s="7"/>
    </row>
    <row r="127" spans="1:6">
      <c r="A127" s="6"/>
      <c r="B127">
        <f>'REF 1'!$K$8*'Input Data'!$B$134*1000000/'Input Data'!$B$114/1000*'REF 1'!C11</f>
        <v>166473.98843930633</v>
      </c>
      <c r="C127" t="s">
        <v>56</v>
      </c>
      <c r="F127" s="7"/>
    </row>
    <row r="128" spans="1:6">
      <c r="A128" s="6" t="s">
        <v>59</v>
      </c>
      <c r="B128">
        <f>'REF 1'!$K$8*'Input Data'!$B$134*1000000/'Input Data'!$B$114/1000*'REF 1'!C12</f>
        <v>172023.12138728323</v>
      </c>
      <c r="C128" t="s">
        <v>60</v>
      </c>
      <c r="F128" s="7"/>
    </row>
    <row r="129" spans="1:6">
      <c r="A129" s="6" t="s">
        <v>62</v>
      </c>
      <c r="B129">
        <f>SUM(B117:B128)</f>
        <v>2025433.5260115608</v>
      </c>
      <c r="C129" t="s">
        <v>63</v>
      </c>
      <c r="F129" s="7"/>
    </row>
    <row r="130" spans="1:6">
      <c r="A130" s="6"/>
      <c r="F130" s="7"/>
    </row>
    <row r="131" spans="1:6">
      <c r="A131" s="6"/>
      <c r="F131" s="7"/>
    </row>
    <row r="132" spans="1:6">
      <c r="A132" s="6" t="s">
        <v>71</v>
      </c>
      <c r="B132">
        <v>7</v>
      </c>
      <c r="C132" t="s">
        <v>72</v>
      </c>
      <c r="F132" s="7"/>
    </row>
    <row r="133" spans="1:6">
      <c r="A133" s="6" t="s">
        <v>73</v>
      </c>
      <c r="B133">
        <v>365</v>
      </c>
      <c r="C133" t="s">
        <v>74</v>
      </c>
      <c r="F133" s="7"/>
    </row>
    <row r="134" spans="1:6">
      <c r="A134" s="6"/>
      <c r="B134" s="1">
        <v>8760</v>
      </c>
      <c r="C134" s="1" t="s">
        <v>77</v>
      </c>
      <c r="F134" s="7"/>
    </row>
    <row r="135" spans="1:6">
      <c r="A135" s="6"/>
      <c r="F135" s="7"/>
    </row>
    <row r="136" spans="1:6">
      <c r="A136" s="8"/>
      <c r="B136" s="9"/>
      <c r="C136" s="9"/>
      <c r="D136" s="9"/>
      <c r="E136" s="9"/>
      <c r="F136" s="10"/>
    </row>
    <row r="138" spans="1:6">
      <c r="A138" s="11" t="s">
        <v>0</v>
      </c>
      <c r="B138" s="14" t="s">
        <v>87</v>
      </c>
      <c r="C138" s="4" t="s">
        <v>1</v>
      </c>
      <c r="D138" s="13">
        <v>40544</v>
      </c>
      <c r="E138" s="14" t="s">
        <v>2</v>
      </c>
      <c r="F138" s="15">
        <v>3.4</v>
      </c>
    </row>
    <row r="139" spans="1:6">
      <c r="A139" s="12" t="s">
        <v>3</v>
      </c>
      <c r="B139" s="1" t="s">
        <v>88</v>
      </c>
      <c r="E139" t="s">
        <v>89</v>
      </c>
      <c r="F139" s="7">
        <v>460</v>
      </c>
    </row>
    <row r="140" spans="1:6">
      <c r="A140" s="6"/>
      <c r="F140" s="7"/>
    </row>
    <row r="141" spans="1:6">
      <c r="A141" s="6"/>
      <c r="F141" s="7"/>
    </row>
    <row r="142" spans="1:6">
      <c r="A142" s="6"/>
      <c r="F142" s="7"/>
    </row>
    <row r="143" spans="1:6">
      <c r="A143" s="6" t="s">
        <v>9</v>
      </c>
      <c r="B143" t="s">
        <v>10</v>
      </c>
      <c r="C143" t="s">
        <v>11</v>
      </c>
      <c r="F143" s="7"/>
    </row>
    <row r="144" spans="1:6">
      <c r="A144" s="6"/>
      <c r="B144" t="s">
        <v>12</v>
      </c>
      <c r="C144" t="s">
        <v>13</v>
      </c>
      <c r="F144" s="7"/>
    </row>
    <row r="145" spans="1:6">
      <c r="A145" s="6"/>
      <c r="B145">
        <v>20100101</v>
      </c>
      <c r="C145" t="s">
        <v>14</v>
      </c>
      <c r="F145" s="7"/>
    </row>
    <row r="146" spans="1:6">
      <c r="A146" s="6"/>
      <c r="B146" t="s">
        <v>10</v>
      </c>
      <c r="C146" t="s">
        <v>15</v>
      </c>
      <c r="F146" s="7"/>
    </row>
    <row r="147" spans="1:6">
      <c r="A147" s="6"/>
      <c r="B147">
        <f>'REF 1'!W11</f>
        <v>1.5E-3</v>
      </c>
      <c r="C147" t="s">
        <v>17</v>
      </c>
      <c r="F147" s="7"/>
    </row>
    <row r="148" spans="1:6">
      <c r="A148" s="6"/>
      <c r="B148">
        <v>129250</v>
      </c>
      <c r="C148" t="s">
        <v>20</v>
      </c>
      <c r="F148" s="7"/>
    </row>
    <row r="149" spans="1:6">
      <c r="A149" s="6"/>
      <c r="F149" s="7"/>
    </row>
    <row r="150" spans="1:6">
      <c r="A150" s="6"/>
      <c r="B150" t="s">
        <v>25</v>
      </c>
      <c r="F150" s="7"/>
    </row>
    <row r="151" spans="1:6">
      <c r="A151" s="6" t="s">
        <v>29</v>
      </c>
      <c r="B151">
        <f>'REF 1'!$V$8*'Input Data'!$B$168/'Input Data'!$B$148/12</f>
        <v>1096.067053513862</v>
      </c>
      <c r="C151" t="s">
        <v>30</v>
      </c>
      <c r="F151" s="7"/>
    </row>
    <row r="152" spans="1:6">
      <c r="A152" s="6"/>
      <c r="B152">
        <f>'REF 1'!$V$8*'Input Data'!$B$168/'Input Data'!$B$148/12</f>
        <v>1096.067053513862</v>
      </c>
      <c r="C152" t="s">
        <v>33</v>
      </c>
      <c r="F152" s="7"/>
    </row>
    <row r="153" spans="1:6">
      <c r="A153" s="6"/>
      <c r="B153">
        <f>'REF 1'!$V$8*'Input Data'!$B$168/'Input Data'!$B$148/12</f>
        <v>1096.067053513862</v>
      </c>
      <c r="C153" t="s">
        <v>34</v>
      </c>
      <c r="F153" s="7"/>
    </row>
    <row r="154" spans="1:6">
      <c r="A154" s="6"/>
      <c r="B154">
        <f>'REF 1'!$V$8*'Input Data'!$B$168/'Input Data'!$B$148/12</f>
        <v>1096.067053513862</v>
      </c>
      <c r="C154" t="s">
        <v>36</v>
      </c>
      <c r="F154" s="7"/>
    </row>
    <row r="155" spans="1:6">
      <c r="A155" s="6"/>
      <c r="B155">
        <f>'REF 1'!$V$8*'Input Data'!$B$168/'Input Data'!$B$148/12</f>
        <v>1096.067053513862</v>
      </c>
      <c r="C155" t="s">
        <v>37</v>
      </c>
      <c r="F155" s="7"/>
    </row>
    <row r="156" spans="1:6">
      <c r="A156" s="6"/>
      <c r="B156">
        <f>'REF 1'!$V$8*'Input Data'!$B$168/'Input Data'!$B$148/12</f>
        <v>1096.067053513862</v>
      </c>
      <c r="C156" t="s">
        <v>39</v>
      </c>
      <c r="F156" s="7"/>
    </row>
    <row r="157" spans="1:6">
      <c r="A157" s="6"/>
      <c r="B157">
        <f>'REF 1'!$V$8*'Input Data'!$B$168/'Input Data'!$B$148/12</f>
        <v>1096.067053513862</v>
      </c>
      <c r="C157" t="s">
        <v>40</v>
      </c>
      <c r="F157" s="7"/>
    </row>
    <row r="158" spans="1:6">
      <c r="A158" s="6"/>
      <c r="B158">
        <f>'REF 1'!$V$8*'Input Data'!$B$168/'Input Data'!$B$148/12</f>
        <v>1096.067053513862</v>
      </c>
      <c r="C158" t="s">
        <v>45</v>
      </c>
      <c r="F158" s="7"/>
    </row>
    <row r="159" spans="1:6">
      <c r="A159" s="6"/>
      <c r="B159">
        <f>'REF 1'!$V$8*'Input Data'!$B$168/'Input Data'!$B$148/12</f>
        <v>1096.067053513862</v>
      </c>
      <c r="C159" t="s">
        <v>49</v>
      </c>
      <c r="F159" s="7"/>
    </row>
    <row r="160" spans="1:6">
      <c r="A160" s="6"/>
      <c r="B160">
        <f>'REF 1'!$V$8*'Input Data'!$B$168/'Input Data'!$B$148/12</f>
        <v>1096.067053513862</v>
      </c>
      <c r="C160" t="s">
        <v>53</v>
      </c>
      <c r="F160" s="7"/>
    </row>
    <row r="161" spans="1:6">
      <c r="A161" s="6"/>
      <c r="B161">
        <f>'REF 1'!$V$8*'Input Data'!$B$168/'Input Data'!$B$148/12</f>
        <v>1096.067053513862</v>
      </c>
      <c r="C161" t="s">
        <v>56</v>
      </c>
      <c r="F161" s="7"/>
    </row>
    <row r="162" spans="1:6">
      <c r="A162" s="6" t="s">
        <v>59</v>
      </c>
      <c r="B162">
        <f>'REF 1'!$V$8*'Input Data'!$B$168/'Input Data'!$B$148/12</f>
        <v>1096.067053513862</v>
      </c>
      <c r="C162" t="s">
        <v>60</v>
      </c>
      <c r="F162" s="7"/>
    </row>
    <row r="163" spans="1:6">
      <c r="A163" s="6" t="s">
        <v>62</v>
      </c>
      <c r="B163">
        <f>SUM(B151:B162)</f>
        <v>13152.80464216634</v>
      </c>
      <c r="C163" t="s">
        <v>63</v>
      </c>
      <c r="F163" s="7"/>
    </row>
    <row r="164" spans="1:6">
      <c r="A164" s="6"/>
      <c r="F164" s="7"/>
    </row>
    <row r="165" spans="1:6">
      <c r="A165" s="6"/>
      <c r="F165" s="7"/>
    </row>
    <row r="166" spans="1:6">
      <c r="A166" s="6" t="s">
        <v>71</v>
      </c>
      <c r="B166">
        <v>7</v>
      </c>
      <c r="C166" t="s">
        <v>72</v>
      </c>
      <c r="F166" s="7"/>
    </row>
    <row r="167" spans="1:6">
      <c r="A167" s="6" t="s">
        <v>73</v>
      </c>
      <c r="B167">
        <v>365</v>
      </c>
      <c r="C167" t="s">
        <v>74</v>
      </c>
      <c r="F167" s="7"/>
    </row>
    <row r="168" spans="1:6">
      <c r="A168" s="6"/>
      <c r="B168" s="1">
        <v>500</v>
      </c>
      <c r="C168" s="1" t="s">
        <v>77</v>
      </c>
      <c r="F168" s="7"/>
    </row>
    <row r="169" spans="1:6">
      <c r="A169" s="6"/>
      <c r="F169" s="7"/>
    </row>
    <row r="170" spans="1:6">
      <c r="A170" s="8"/>
      <c r="B170" s="9"/>
      <c r="C170" s="9" t="s">
        <v>90</v>
      </c>
      <c r="D170" s="9"/>
      <c r="E170" s="9"/>
      <c r="F170" s="10"/>
    </row>
    <row r="172" spans="1:6">
      <c r="A172" s="11" t="s">
        <v>0</v>
      </c>
      <c r="B172" s="14" t="s">
        <v>91</v>
      </c>
      <c r="C172" s="4" t="s">
        <v>1</v>
      </c>
      <c r="D172" s="13">
        <v>40544</v>
      </c>
      <c r="E172" s="14" t="s">
        <v>2</v>
      </c>
      <c r="F172" s="15">
        <v>2.1</v>
      </c>
    </row>
    <row r="173" spans="1:6">
      <c r="A173" s="12" t="s">
        <v>3</v>
      </c>
      <c r="B173" s="1" t="s">
        <v>92</v>
      </c>
      <c r="E173" t="s">
        <v>89</v>
      </c>
      <c r="F173" s="7">
        <v>285</v>
      </c>
    </row>
    <row r="174" spans="1:6">
      <c r="A174" s="6"/>
      <c r="F174" s="7"/>
    </row>
    <row r="175" spans="1:6">
      <c r="A175" s="6"/>
      <c r="F175" s="7"/>
    </row>
    <row r="176" spans="1:6">
      <c r="A176" s="6" t="s">
        <v>9</v>
      </c>
      <c r="B176" t="s">
        <v>10</v>
      </c>
      <c r="C176" t="s">
        <v>11</v>
      </c>
      <c r="F176" s="7"/>
    </row>
    <row r="177" spans="1:6">
      <c r="A177" s="6"/>
      <c r="B177" t="s">
        <v>12</v>
      </c>
      <c r="C177" t="s">
        <v>13</v>
      </c>
      <c r="F177" s="7"/>
    </row>
    <row r="178" spans="1:6">
      <c r="A178" s="6"/>
      <c r="B178">
        <v>20100101</v>
      </c>
      <c r="C178" t="s">
        <v>14</v>
      </c>
      <c r="F178" s="7"/>
    </row>
    <row r="179" spans="1:6">
      <c r="A179" s="6"/>
      <c r="B179" t="s">
        <v>10</v>
      </c>
      <c r="C179" t="s">
        <v>15</v>
      </c>
      <c r="F179" s="7"/>
    </row>
    <row r="180" spans="1:6">
      <c r="A180" s="6"/>
      <c r="B180">
        <f>'REF 1'!AA11</f>
        <v>1.5E-3</v>
      </c>
      <c r="C180" t="s">
        <v>17</v>
      </c>
      <c r="F180" s="7"/>
    </row>
    <row r="181" spans="1:6">
      <c r="A181" s="6"/>
      <c r="B181">
        <v>129250</v>
      </c>
      <c r="C181" t="s">
        <v>20</v>
      </c>
      <c r="F181" s="7"/>
    </row>
    <row r="182" spans="1:6">
      <c r="A182" s="6"/>
      <c r="F182" s="7"/>
    </row>
    <row r="183" spans="1:6">
      <c r="A183" s="6"/>
      <c r="B183" t="s">
        <v>25</v>
      </c>
      <c r="F183" s="7"/>
    </row>
    <row r="184" spans="1:6">
      <c r="A184" s="6" t="s">
        <v>29</v>
      </c>
      <c r="B184">
        <f>'REF 1'!$Z$8*'Input Data'!$B$201/'Input Data'!$B$181/12</f>
        <v>676.98259187620886</v>
      </c>
      <c r="C184" t="s">
        <v>30</v>
      </c>
      <c r="F184" s="7"/>
    </row>
    <row r="185" spans="1:6">
      <c r="A185" s="6"/>
      <c r="B185">
        <f>'REF 1'!$Z$8*'Input Data'!$B$201/'Input Data'!$B$181/12</f>
        <v>676.98259187620886</v>
      </c>
      <c r="C185" t="s">
        <v>33</v>
      </c>
      <c r="F185" s="7"/>
    </row>
    <row r="186" spans="1:6">
      <c r="A186" s="6"/>
      <c r="B186">
        <f>'REF 1'!$Z$8*'Input Data'!$B$201/'Input Data'!$B$181/12</f>
        <v>676.98259187620886</v>
      </c>
      <c r="C186" t="s">
        <v>34</v>
      </c>
      <c r="F186" s="7"/>
    </row>
    <row r="187" spans="1:6">
      <c r="A187" s="6"/>
      <c r="B187">
        <f>'REF 1'!$Z$8*'Input Data'!$B$201/'Input Data'!$B$181/12</f>
        <v>676.98259187620886</v>
      </c>
      <c r="C187" t="s">
        <v>36</v>
      </c>
      <c r="F187" s="7"/>
    </row>
    <row r="188" spans="1:6">
      <c r="A188" s="6"/>
      <c r="B188">
        <f>'REF 1'!$Z$8*'Input Data'!$B$201/'Input Data'!$B$181/12</f>
        <v>676.98259187620886</v>
      </c>
      <c r="C188" t="s">
        <v>37</v>
      </c>
      <c r="F188" s="7"/>
    </row>
    <row r="189" spans="1:6">
      <c r="A189" s="6"/>
      <c r="B189">
        <f>'REF 1'!$Z$8*'Input Data'!$B$201/'Input Data'!$B$181/12</f>
        <v>676.98259187620886</v>
      </c>
      <c r="C189" t="s">
        <v>39</v>
      </c>
      <c r="F189" s="7"/>
    </row>
    <row r="190" spans="1:6">
      <c r="A190" s="6"/>
      <c r="B190">
        <f>'REF 1'!$Z$8*'Input Data'!$B$201/'Input Data'!$B$181/12</f>
        <v>676.98259187620886</v>
      </c>
      <c r="C190" t="s">
        <v>40</v>
      </c>
      <c r="F190" s="7"/>
    </row>
    <row r="191" spans="1:6">
      <c r="A191" s="6"/>
      <c r="B191">
        <f>'REF 1'!$Z$8*'Input Data'!$B$201/'Input Data'!$B$181/12</f>
        <v>676.98259187620886</v>
      </c>
      <c r="C191" t="s">
        <v>45</v>
      </c>
      <c r="F191" s="7"/>
    </row>
    <row r="192" spans="1:6">
      <c r="A192" s="6"/>
      <c r="B192">
        <f>'REF 1'!$Z$8*'Input Data'!$B$201/'Input Data'!$B$181/12</f>
        <v>676.98259187620886</v>
      </c>
      <c r="C192" t="s">
        <v>49</v>
      </c>
      <c r="F192" s="7"/>
    </row>
    <row r="193" spans="1:6">
      <c r="A193" s="6"/>
      <c r="B193">
        <f>'REF 1'!$Z$8*'Input Data'!$B$201/'Input Data'!$B$181/12</f>
        <v>676.98259187620886</v>
      </c>
      <c r="C193" t="s">
        <v>53</v>
      </c>
      <c r="F193" s="7"/>
    </row>
    <row r="194" spans="1:6">
      <c r="A194" s="6"/>
      <c r="B194">
        <f>'REF 1'!$Z$8*'Input Data'!$B$201/'Input Data'!$B$181/12</f>
        <v>676.98259187620886</v>
      </c>
      <c r="C194" t="s">
        <v>56</v>
      </c>
      <c r="F194" s="7"/>
    </row>
    <row r="195" spans="1:6">
      <c r="A195" s="6" t="s">
        <v>59</v>
      </c>
      <c r="B195">
        <f>'REF 1'!$Z$8*'Input Data'!$B$201/'Input Data'!$B$181/12</f>
        <v>676.98259187620886</v>
      </c>
      <c r="C195" t="s">
        <v>60</v>
      </c>
      <c r="F195" s="7"/>
    </row>
    <row r="196" spans="1:6">
      <c r="A196" s="6" t="s">
        <v>62</v>
      </c>
      <c r="B196">
        <f>SUM(B184:B195)</f>
        <v>8123.7911025145067</v>
      </c>
      <c r="C196" t="s">
        <v>63</v>
      </c>
      <c r="F196" s="7"/>
    </row>
    <row r="197" spans="1:6">
      <c r="A197" s="6"/>
      <c r="F197" s="7"/>
    </row>
    <row r="198" spans="1:6">
      <c r="A198" s="6"/>
      <c r="F198" s="7"/>
    </row>
    <row r="199" spans="1:6">
      <c r="A199" s="6" t="s">
        <v>71</v>
      </c>
      <c r="B199">
        <v>7</v>
      </c>
      <c r="C199" t="s">
        <v>72</v>
      </c>
      <c r="F199" s="7"/>
    </row>
    <row r="200" spans="1:6">
      <c r="A200" s="6" t="s">
        <v>73</v>
      </c>
      <c r="B200">
        <v>365</v>
      </c>
      <c r="C200" t="s">
        <v>74</v>
      </c>
      <c r="F200" s="7"/>
    </row>
    <row r="201" spans="1:6">
      <c r="A201" s="6"/>
      <c r="B201" s="1">
        <v>500</v>
      </c>
      <c r="C201" s="1" t="s">
        <v>77</v>
      </c>
      <c r="F201" s="7"/>
    </row>
    <row r="202" spans="1:6">
      <c r="A202" s="6"/>
      <c r="F202" s="7"/>
    </row>
    <row r="203" spans="1:6">
      <c r="A203" s="8"/>
      <c r="B203" s="9"/>
      <c r="C203" s="9"/>
      <c r="D203" s="9"/>
      <c r="E203" s="9"/>
      <c r="F203" s="10"/>
    </row>
  </sheetData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9688-8454-4CAA-99A2-2C2770A4FB29}">
  <dimension ref="A1:AM93"/>
  <sheetViews>
    <sheetView workbookViewId="0">
      <selection activeCell="F15" sqref="F15"/>
    </sheetView>
  </sheetViews>
  <sheetFormatPr defaultColWidth="19.88671875" defaultRowHeight="14.4"/>
  <cols>
    <col min="1" max="1" width="28.44140625" customWidth="1"/>
    <col min="3" max="3" width="14.88671875" customWidth="1"/>
    <col min="4" max="4" width="16.44140625" customWidth="1"/>
    <col min="5" max="5" width="17.5546875" customWidth="1"/>
    <col min="6" max="6" width="41.109375" customWidth="1"/>
    <col min="9" max="12" width="10.109375" customWidth="1"/>
    <col min="13" max="13" width="33.5546875" customWidth="1"/>
    <col min="14" max="14" width="14.5546875" customWidth="1"/>
    <col min="15" max="15" width="11.88671875" customWidth="1"/>
    <col min="16" max="16" width="10.5546875" customWidth="1"/>
    <col min="17" max="17" width="10.33203125" customWidth="1"/>
    <col min="18" max="18" width="16.6640625" customWidth="1"/>
    <col min="19" max="19" width="12.109375" customWidth="1"/>
    <col min="20" max="20" width="18.5546875" customWidth="1"/>
    <col min="21" max="21" width="13.88671875" customWidth="1"/>
    <col min="22" max="23" width="13.44140625" customWidth="1"/>
    <col min="24" max="24" width="16.109375" customWidth="1"/>
    <col min="25" max="25" width="11.88671875" customWidth="1"/>
    <col min="27" max="27" width="12.88671875" customWidth="1"/>
    <col min="28" max="28" width="15.88671875" customWidth="1"/>
    <col min="29" max="29" width="13.5546875" customWidth="1"/>
    <col min="30" max="30" width="16.109375" customWidth="1"/>
    <col min="32" max="32" width="14.109375" customWidth="1"/>
    <col min="34" max="34" width="13.33203125" customWidth="1"/>
    <col min="36" max="36" width="21.33203125" customWidth="1"/>
    <col min="37" max="37" width="12.44140625" customWidth="1"/>
    <col min="38" max="39" width="11.88671875" customWidth="1"/>
  </cols>
  <sheetData>
    <row r="1" spans="1:39">
      <c r="A1" s="17" t="s">
        <v>93</v>
      </c>
      <c r="B1" s="17" t="s">
        <v>94</v>
      </c>
      <c r="C1" s="17" t="s">
        <v>95</v>
      </c>
      <c r="D1" s="17" t="s">
        <v>96</v>
      </c>
      <c r="E1" s="17" t="s">
        <v>97</v>
      </c>
      <c r="F1" s="17" t="s">
        <v>44</v>
      </c>
      <c r="G1" s="17" t="s">
        <v>98</v>
      </c>
      <c r="H1" s="17" t="s">
        <v>99</v>
      </c>
      <c r="M1" s="1" t="s">
        <v>100</v>
      </c>
      <c r="AJ1" s="1" t="s">
        <v>101</v>
      </c>
    </row>
    <row r="2" spans="1:39">
      <c r="A2" s="2" t="s">
        <v>102</v>
      </c>
      <c r="B2" s="2" t="s">
        <v>4</v>
      </c>
      <c r="C2" s="2" t="s">
        <v>103</v>
      </c>
      <c r="D2" s="2" t="s">
        <v>10</v>
      </c>
      <c r="F2" t="s">
        <v>104</v>
      </c>
      <c r="AJ2" s="1" t="s">
        <v>105</v>
      </c>
    </row>
    <row r="3" spans="1:39">
      <c r="A3" s="2" t="s">
        <v>102</v>
      </c>
      <c r="B3" s="2" t="s">
        <v>4</v>
      </c>
      <c r="C3" s="2" t="s">
        <v>106</v>
      </c>
      <c r="D3" s="2">
        <v>5.0000000000000001E-3</v>
      </c>
      <c r="E3" t="s">
        <v>107</v>
      </c>
      <c r="F3" t="s">
        <v>108</v>
      </c>
      <c r="I3">
        <f>'Brunot Island CT PTE'!B33/'Brunot Island CT PTE'!G12</f>
        <v>5.0000000000000001E-3</v>
      </c>
    </row>
    <row r="4" spans="1:39">
      <c r="A4" s="2" t="s">
        <v>102</v>
      </c>
      <c r="B4" s="2" t="s">
        <v>4</v>
      </c>
      <c r="C4" s="2" t="s">
        <v>109</v>
      </c>
      <c r="D4" s="2">
        <v>7.1999999999999998E-3</v>
      </c>
      <c r="E4" t="s">
        <v>107</v>
      </c>
      <c r="F4" t="s">
        <v>110</v>
      </c>
      <c r="M4" s="3"/>
      <c r="N4" s="4"/>
      <c r="O4" s="4"/>
      <c r="P4" s="4"/>
      <c r="Q4" s="5"/>
      <c r="R4" s="3"/>
      <c r="S4" s="4"/>
      <c r="T4" s="4"/>
      <c r="U4" s="23" t="s">
        <v>111</v>
      </c>
      <c r="V4" s="4"/>
      <c r="W4" s="4"/>
      <c r="X4" s="4"/>
      <c r="Y4" s="5"/>
      <c r="Z4" s="3"/>
      <c r="AA4" s="4"/>
      <c r="AB4" s="14" t="s">
        <v>112</v>
      </c>
      <c r="AC4" s="4"/>
      <c r="AD4" s="5"/>
      <c r="AE4" s="11" t="s">
        <v>113</v>
      </c>
      <c r="AF4" s="5"/>
      <c r="AG4" s="11" t="s">
        <v>114</v>
      </c>
      <c r="AH4" s="5"/>
      <c r="AJ4" s="31" t="s">
        <v>115</v>
      </c>
      <c r="AK4" s="241" t="s">
        <v>116</v>
      </c>
      <c r="AL4" s="242"/>
      <c r="AM4" s="242"/>
    </row>
    <row r="5" spans="1:39">
      <c r="A5" s="2" t="s">
        <v>102</v>
      </c>
      <c r="B5" s="2" t="s">
        <v>4</v>
      </c>
      <c r="C5" s="2" t="s">
        <v>117</v>
      </c>
      <c r="D5" s="2">
        <v>5.0000000000000001E-3</v>
      </c>
      <c r="E5" t="s">
        <v>107</v>
      </c>
      <c r="F5" t="s">
        <v>108</v>
      </c>
      <c r="I5">
        <f>'Brunot Island CT PTE'!C33/'Brunot Island CT PTE'!G12</f>
        <v>5.0000000000000001E-3</v>
      </c>
      <c r="M5" s="6"/>
      <c r="Q5" s="7"/>
      <c r="R5" s="8"/>
      <c r="S5" s="9"/>
      <c r="T5" s="9"/>
      <c r="U5" s="9"/>
      <c r="V5" s="9"/>
      <c r="W5" s="9"/>
      <c r="X5" s="9"/>
      <c r="Y5" s="10"/>
      <c r="Z5" s="8"/>
      <c r="AA5" s="9"/>
      <c r="AB5" s="9"/>
      <c r="AC5" s="9"/>
      <c r="AD5" s="10"/>
      <c r="AE5" s="16" t="s">
        <v>118</v>
      </c>
      <c r="AF5" s="10"/>
      <c r="AG5" s="16" t="s">
        <v>119</v>
      </c>
      <c r="AH5" s="10"/>
      <c r="AJ5" s="29"/>
      <c r="AK5" s="32" t="s">
        <v>120</v>
      </c>
      <c r="AL5" s="32" t="s">
        <v>121</v>
      </c>
      <c r="AM5" s="32" t="s">
        <v>122</v>
      </c>
    </row>
    <row r="6" spans="1:39">
      <c r="A6" s="2" t="s">
        <v>102</v>
      </c>
      <c r="B6" s="2" t="s">
        <v>4</v>
      </c>
      <c r="C6" s="2" t="s">
        <v>123</v>
      </c>
      <c r="D6" s="2" t="s">
        <v>10</v>
      </c>
      <c r="F6" t="s">
        <v>104</v>
      </c>
      <c r="M6" s="6"/>
      <c r="Q6" s="7"/>
      <c r="R6" s="235" t="s">
        <v>124</v>
      </c>
      <c r="S6" s="237"/>
      <c r="T6" s="235" t="s">
        <v>125</v>
      </c>
      <c r="U6" s="237"/>
      <c r="V6" s="237"/>
      <c r="W6" s="236"/>
      <c r="X6" s="246" t="s">
        <v>126</v>
      </c>
      <c r="Y6" s="236"/>
      <c r="Z6" s="235" t="s">
        <v>125</v>
      </c>
      <c r="AA6" s="236"/>
      <c r="AB6" s="235" t="s">
        <v>126</v>
      </c>
      <c r="AC6" s="237"/>
      <c r="AD6" s="238"/>
      <c r="AE6" s="235" t="s">
        <v>127</v>
      </c>
      <c r="AF6" s="236"/>
      <c r="AG6" s="235" t="s">
        <v>127</v>
      </c>
      <c r="AH6" s="236"/>
      <c r="AJ6" s="19" t="s">
        <v>128</v>
      </c>
      <c r="AK6" s="19">
        <v>93.28</v>
      </c>
      <c r="AL6" s="19">
        <v>1.6000000000000001E-3</v>
      </c>
      <c r="AM6" s="19">
        <v>1.0999999999999999E-2</v>
      </c>
    </row>
    <row r="7" spans="1:39">
      <c r="A7" s="2" t="s">
        <v>102</v>
      </c>
      <c r="B7" s="2" t="s">
        <v>4</v>
      </c>
      <c r="C7" s="2" t="s">
        <v>129</v>
      </c>
      <c r="D7" s="2">
        <v>0.21</v>
      </c>
      <c r="E7" t="s">
        <v>107</v>
      </c>
      <c r="F7" t="s">
        <v>542</v>
      </c>
      <c r="I7">
        <f>'Brunot Island CT PTE'!H33/'Brunot Island CT PTE'!G12</f>
        <v>0.21</v>
      </c>
      <c r="M7" s="6"/>
      <c r="Q7" s="7"/>
      <c r="R7" s="8"/>
      <c r="S7" s="9"/>
      <c r="T7" s="6"/>
      <c r="W7" s="7"/>
      <c r="Y7" s="7"/>
      <c r="Z7" s="6"/>
      <c r="AA7" s="7"/>
      <c r="AB7" s="6"/>
      <c r="AD7" s="7"/>
      <c r="AE7" s="6"/>
      <c r="AF7" s="7"/>
      <c r="AG7" s="6"/>
      <c r="AH7" s="7"/>
      <c r="AJ7" s="19" t="s">
        <v>130</v>
      </c>
      <c r="AK7" s="19">
        <v>97.17</v>
      </c>
      <c r="AL7" s="19">
        <v>1.6000000000000001E-3</v>
      </c>
      <c r="AM7" s="19">
        <v>1.0999999999999999E-2</v>
      </c>
    </row>
    <row r="8" spans="1:39">
      <c r="A8" s="2" t="s">
        <v>102</v>
      </c>
      <c r="B8" s="2" t="s">
        <v>4</v>
      </c>
      <c r="C8" s="2" t="s">
        <v>131</v>
      </c>
      <c r="D8" s="2">
        <v>0.69799999999999995</v>
      </c>
      <c r="E8" t="s">
        <v>107</v>
      </c>
      <c r="F8" t="s">
        <v>132</v>
      </c>
      <c r="I8">
        <f>'Brunot Island CT PTE'!E33/'Brunot Island CT PTE'!G12</f>
        <v>0.69799999999999995</v>
      </c>
      <c r="M8" s="6"/>
      <c r="Q8" s="7"/>
      <c r="R8" s="3"/>
      <c r="S8" s="5"/>
      <c r="T8" s="243" t="s">
        <v>133</v>
      </c>
      <c r="U8" s="244"/>
      <c r="V8" s="244"/>
      <c r="W8" s="245"/>
      <c r="X8" s="8" t="s">
        <v>59</v>
      </c>
      <c r="Y8" s="10"/>
      <c r="Z8" s="239" t="s">
        <v>133</v>
      </c>
      <c r="AA8" s="240"/>
      <c r="AB8" s="8" t="s">
        <v>59</v>
      </c>
      <c r="AC8" s="9"/>
      <c r="AD8" s="22" t="s">
        <v>134</v>
      </c>
      <c r="AE8" s="8" t="s">
        <v>59</v>
      </c>
      <c r="AF8" s="10"/>
      <c r="AG8" s="8" t="s">
        <v>59</v>
      </c>
      <c r="AH8" s="10"/>
      <c r="AJ8" s="19" t="s">
        <v>82</v>
      </c>
      <c r="AK8" s="19">
        <v>53.06</v>
      </c>
      <c r="AL8" s="19">
        <v>1E-4</v>
      </c>
      <c r="AM8" s="19">
        <v>1E-3</v>
      </c>
    </row>
    <row r="9" spans="1:39">
      <c r="A9" s="2" t="s">
        <v>102</v>
      </c>
      <c r="B9" s="2" t="s">
        <v>4</v>
      </c>
      <c r="C9" s="2" t="s">
        <v>135</v>
      </c>
      <c r="D9" s="101">
        <v>3.0733333333333335E-2</v>
      </c>
      <c r="E9" t="s">
        <v>107</v>
      </c>
      <c r="F9" t="s">
        <v>136</v>
      </c>
      <c r="I9" s="195">
        <f>'Brunot Island CT PTE'!F33/'Brunot Island CT PTE'!G12</f>
        <v>3.0733333333333335E-2</v>
      </c>
      <c r="M9" s="16" t="s">
        <v>95</v>
      </c>
      <c r="N9" s="17" t="s">
        <v>137</v>
      </c>
      <c r="O9" s="17" t="s">
        <v>138</v>
      </c>
      <c r="P9" s="17" t="s">
        <v>139</v>
      </c>
      <c r="Q9" s="22" t="s">
        <v>135</v>
      </c>
      <c r="R9" s="16" t="s">
        <v>140</v>
      </c>
      <c r="S9" s="22" t="s">
        <v>44</v>
      </c>
      <c r="T9" s="16" t="s">
        <v>141</v>
      </c>
      <c r="U9" s="22" t="s">
        <v>44</v>
      </c>
      <c r="V9" s="17" t="s">
        <v>142</v>
      </c>
      <c r="W9" s="22" t="s">
        <v>44</v>
      </c>
      <c r="X9" s="16" t="s">
        <v>143</v>
      </c>
      <c r="Y9" s="22" t="s">
        <v>44</v>
      </c>
      <c r="Z9" s="24" t="s">
        <v>141</v>
      </c>
      <c r="AA9" s="25" t="s">
        <v>44</v>
      </c>
      <c r="AB9" s="24" t="s">
        <v>141</v>
      </c>
      <c r="AC9" s="25" t="s">
        <v>44</v>
      </c>
      <c r="AD9" s="26" t="s">
        <v>144</v>
      </c>
      <c r="AE9" s="24" t="s">
        <v>141</v>
      </c>
      <c r="AF9" s="25" t="s">
        <v>44</v>
      </c>
      <c r="AG9" s="24" t="s">
        <v>141</v>
      </c>
      <c r="AH9" s="25" t="s">
        <v>44</v>
      </c>
      <c r="AJ9" s="19" t="s">
        <v>145</v>
      </c>
      <c r="AK9" s="19">
        <v>73.959999999999994</v>
      </c>
      <c r="AL9" s="19">
        <v>5.9999999999999995E-4</v>
      </c>
      <c r="AM9" s="19">
        <v>3.0000000000000001E-3</v>
      </c>
    </row>
    <row r="10" spans="1:39">
      <c r="A10" s="2" t="s">
        <v>102</v>
      </c>
      <c r="B10" s="2" t="s">
        <v>4</v>
      </c>
      <c r="C10" s="2" t="s">
        <v>146</v>
      </c>
      <c r="D10" s="101">
        <v>0.11833333333333333</v>
      </c>
      <c r="E10" t="s">
        <v>107</v>
      </c>
      <c r="F10" t="s">
        <v>147</v>
      </c>
      <c r="I10" s="195">
        <f>'Brunot Island CT PTE'!G33/'Brunot Island CT PTE'!G12</f>
        <v>0.11833333333333333</v>
      </c>
      <c r="M10" s="3" t="s">
        <v>148</v>
      </c>
      <c r="N10" s="4" t="s">
        <v>149</v>
      </c>
      <c r="O10" s="4" t="s">
        <v>150</v>
      </c>
      <c r="P10" s="4"/>
      <c r="Q10" s="5" t="s">
        <v>135</v>
      </c>
      <c r="R10" s="3">
        <v>0</v>
      </c>
      <c r="S10" s="5"/>
      <c r="T10" s="3">
        <v>0</v>
      </c>
      <c r="U10" s="5"/>
      <c r="V10" s="3">
        <v>0</v>
      </c>
      <c r="W10" s="5"/>
      <c r="X10" s="3">
        <v>0</v>
      </c>
      <c r="Y10" s="5"/>
      <c r="Z10" s="3">
        <v>1.5999999999999999E-5</v>
      </c>
      <c r="AA10" s="5">
        <v>18</v>
      </c>
      <c r="AB10" s="3">
        <v>4.3000000000000001E-7</v>
      </c>
      <c r="AC10" s="5">
        <v>17</v>
      </c>
      <c r="AD10" s="27">
        <v>4.3128090428572869E-4</v>
      </c>
      <c r="AE10" s="3">
        <v>0</v>
      </c>
      <c r="AF10" s="5"/>
      <c r="AG10" s="3">
        <v>3.9100000000000002E-5</v>
      </c>
      <c r="AH10" s="5">
        <v>14</v>
      </c>
      <c r="AJ10" s="19" t="s">
        <v>151</v>
      </c>
      <c r="AK10" s="19">
        <v>75.099999999999994</v>
      </c>
      <c r="AL10" s="19">
        <v>5.9999999999999995E-4</v>
      </c>
      <c r="AM10" s="19">
        <v>3.0000000000000001E-3</v>
      </c>
    </row>
    <row r="11" spans="1:39">
      <c r="A11" s="2" t="s">
        <v>102</v>
      </c>
      <c r="B11" s="2" t="s">
        <v>4</v>
      </c>
      <c r="C11" s="2" t="s">
        <v>120</v>
      </c>
      <c r="D11" s="2"/>
      <c r="M11" s="6" t="s">
        <v>152</v>
      </c>
      <c r="N11" t="s">
        <v>153</v>
      </c>
      <c r="O11" t="s">
        <v>150</v>
      </c>
      <c r="Q11" s="7" t="s">
        <v>135</v>
      </c>
      <c r="R11" s="6">
        <v>2.0000000000000002E-5</v>
      </c>
      <c r="S11" s="7">
        <v>2</v>
      </c>
      <c r="T11" s="6">
        <v>0</v>
      </c>
      <c r="U11" s="7"/>
      <c r="V11" s="6">
        <v>0</v>
      </c>
      <c r="W11" s="7"/>
      <c r="X11" s="6">
        <v>0</v>
      </c>
      <c r="Y11" s="7"/>
      <c r="Z11" s="6">
        <v>0</v>
      </c>
      <c r="AA11" s="7"/>
      <c r="AB11" s="6">
        <v>0</v>
      </c>
      <c r="AC11" s="7"/>
      <c r="AD11" s="28">
        <v>0</v>
      </c>
      <c r="AE11" s="6">
        <v>0</v>
      </c>
      <c r="AF11" s="7"/>
      <c r="AG11" s="6">
        <v>0</v>
      </c>
      <c r="AH11" s="7"/>
      <c r="AJ11" s="19" t="s">
        <v>154</v>
      </c>
      <c r="AK11" s="19">
        <v>75.2</v>
      </c>
      <c r="AL11" s="19">
        <v>5.9999999999999995E-4</v>
      </c>
      <c r="AM11" s="19">
        <v>3.0000000000000001E-3</v>
      </c>
    </row>
    <row r="12" spans="1:39">
      <c r="A12" s="18" t="s">
        <v>102</v>
      </c>
      <c r="B12" s="18" t="s">
        <v>4</v>
      </c>
      <c r="C12" s="18" t="s">
        <v>155</v>
      </c>
      <c r="D12" s="18"/>
      <c r="E12" s="9"/>
      <c r="F12" s="9"/>
      <c r="G12" s="9"/>
      <c r="H12" s="9"/>
      <c r="M12" s="6" t="s">
        <v>156</v>
      </c>
      <c r="N12" t="s">
        <v>157</v>
      </c>
      <c r="O12" t="s">
        <v>150</v>
      </c>
      <c r="Q12" s="7" t="s">
        <v>135</v>
      </c>
      <c r="R12" s="6">
        <v>1.43E-11</v>
      </c>
      <c r="S12" s="7">
        <v>15</v>
      </c>
      <c r="T12" s="6">
        <v>0</v>
      </c>
      <c r="U12" s="7"/>
      <c r="V12" s="6">
        <v>0</v>
      </c>
      <c r="W12" s="7"/>
      <c r="X12" s="6">
        <v>0</v>
      </c>
      <c r="Y12" s="7"/>
      <c r="Z12" s="6">
        <v>0</v>
      </c>
      <c r="AA12" s="7"/>
      <c r="AB12" s="6">
        <v>0</v>
      </c>
      <c r="AC12" s="7"/>
      <c r="AD12" s="28">
        <v>0</v>
      </c>
      <c r="AE12" s="6">
        <v>0</v>
      </c>
      <c r="AF12" s="7"/>
      <c r="AG12" s="6">
        <v>0</v>
      </c>
      <c r="AH12" s="7"/>
      <c r="AJ12" s="19" t="s">
        <v>158</v>
      </c>
      <c r="AK12" s="19">
        <v>62.87</v>
      </c>
      <c r="AL12" s="19">
        <v>5.9999999999999995E-4</v>
      </c>
      <c r="AM12" s="19">
        <v>3.0000000000000001E-3</v>
      </c>
    </row>
    <row r="13" spans="1:39">
      <c r="A13" s="2" t="s">
        <v>159</v>
      </c>
      <c r="B13" s="2" t="s">
        <v>81</v>
      </c>
      <c r="C13" s="2" t="s">
        <v>103</v>
      </c>
      <c r="D13" s="101">
        <f>'Brunot Island CT PTE'!J55*2000/'Brunot Island CT PTE'!G13/8760</f>
        <v>1.5250544662309368E-2</v>
      </c>
      <c r="E13" t="s">
        <v>469</v>
      </c>
      <c r="F13" t="s">
        <v>160</v>
      </c>
      <c r="I13" s="195">
        <f>'Brunot Island CT PTE'!J47/'Brunot Island CT PTE'!G13</f>
        <v>1.5250544662309368E-2</v>
      </c>
      <c r="M13" s="6" t="s">
        <v>161</v>
      </c>
      <c r="N13" t="s">
        <v>162</v>
      </c>
      <c r="O13" t="s">
        <v>150</v>
      </c>
      <c r="Q13" s="7" t="s">
        <v>135</v>
      </c>
      <c r="R13" s="6">
        <v>2.8000000000000002E-7</v>
      </c>
      <c r="S13" s="7">
        <v>2</v>
      </c>
      <c r="T13" s="6">
        <v>0</v>
      </c>
      <c r="U13" s="7"/>
      <c r="V13" s="6">
        <v>0</v>
      </c>
      <c r="W13" s="7"/>
      <c r="X13" s="6">
        <v>0</v>
      </c>
      <c r="Y13" s="7"/>
      <c r="Z13" s="6">
        <v>0</v>
      </c>
      <c r="AA13" s="7"/>
      <c r="AB13" s="6">
        <v>0</v>
      </c>
      <c r="AC13" s="7"/>
      <c r="AD13" s="28">
        <v>0</v>
      </c>
      <c r="AE13" s="6">
        <v>0</v>
      </c>
      <c r="AF13" s="7"/>
      <c r="AG13" s="6">
        <v>0</v>
      </c>
      <c r="AH13" s="7"/>
    </row>
    <row r="14" spans="1:39">
      <c r="A14" s="2" t="s">
        <v>159</v>
      </c>
      <c r="B14" s="2" t="s">
        <v>81</v>
      </c>
      <c r="C14" s="2" t="s">
        <v>106</v>
      </c>
      <c r="D14" s="102">
        <v>1.4999999999999999E-2</v>
      </c>
      <c r="E14" t="s">
        <v>107</v>
      </c>
      <c r="F14" t="s">
        <v>470</v>
      </c>
      <c r="I14" t="s">
        <v>610</v>
      </c>
      <c r="M14" s="6" t="s">
        <v>163</v>
      </c>
      <c r="N14" t="s">
        <v>164</v>
      </c>
      <c r="O14" t="s">
        <v>150</v>
      </c>
      <c r="Q14" s="7" t="s">
        <v>135</v>
      </c>
      <c r="R14" s="6">
        <v>6.9999999999999999E-6</v>
      </c>
      <c r="S14" s="7">
        <v>2</v>
      </c>
      <c r="T14" s="6">
        <v>0</v>
      </c>
      <c r="U14" s="7"/>
      <c r="V14" s="6">
        <v>0</v>
      </c>
      <c r="W14" s="7"/>
      <c r="X14" s="6">
        <v>0</v>
      </c>
      <c r="Y14" s="7"/>
      <c r="Z14" s="6">
        <v>0</v>
      </c>
      <c r="AA14" s="7"/>
      <c r="AB14" s="6">
        <v>0</v>
      </c>
      <c r="AC14" s="7"/>
      <c r="AD14" s="28">
        <v>0</v>
      </c>
      <c r="AE14" s="6">
        <v>0</v>
      </c>
      <c r="AF14" s="7"/>
      <c r="AG14" s="6">
        <v>0</v>
      </c>
      <c r="AH14" s="7"/>
      <c r="AJ14" s="1" t="s">
        <v>165</v>
      </c>
    </row>
    <row r="15" spans="1:39">
      <c r="A15" s="2" t="s">
        <v>159</v>
      </c>
      <c r="B15" s="2" t="s">
        <v>81</v>
      </c>
      <c r="C15" s="2" t="s">
        <v>109</v>
      </c>
      <c r="D15" s="102">
        <v>4.7000000000000002E-3</v>
      </c>
      <c r="E15" t="s">
        <v>107</v>
      </c>
      <c r="F15" t="s">
        <v>110</v>
      </c>
      <c r="M15" s="6" t="s">
        <v>166</v>
      </c>
      <c r="N15" t="s">
        <v>167</v>
      </c>
      <c r="O15" t="s">
        <v>150</v>
      </c>
      <c r="Q15" s="7" t="s">
        <v>135</v>
      </c>
      <c r="R15" s="6">
        <v>5.6999999999999998E-4</v>
      </c>
      <c r="S15" s="7">
        <v>2</v>
      </c>
      <c r="T15" s="6">
        <v>0</v>
      </c>
      <c r="U15" s="7"/>
      <c r="V15" s="6">
        <v>0</v>
      </c>
      <c r="W15" s="7"/>
      <c r="X15" s="6">
        <v>0</v>
      </c>
      <c r="Y15" s="7"/>
      <c r="Z15" s="6">
        <v>0</v>
      </c>
      <c r="AA15" s="7"/>
      <c r="AB15" s="6">
        <v>4.0000000000000003E-5</v>
      </c>
      <c r="AC15" s="7">
        <v>17</v>
      </c>
      <c r="AD15" s="28">
        <v>4.0119153887044533E-2</v>
      </c>
      <c r="AE15" s="6">
        <v>2.5199999999999999E-5</v>
      </c>
      <c r="AF15" s="7">
        <v>12</v>
      </c>
      <c r="AG15" s="6">
        <v>7.67E-4</v>
      </c>
      <c r="AH15" s="7">
        <v>14</v>
      </c>
      <c r="AJ15" s="26" t="s">
        <v>168</v>
      </c>
      <c r="AK15" s="26" t="s">
        <v>169</v>
      </c>
      <c r="AL15" s="26" t="s">
        <v>170</v>
      </c>
    </row>
    <row r="16" spans="1:39">
      <c r="A16" s="2" t="s">
        <v>159</v>
      </c>
      <c r="B16" s="2" t="s">
        <v>81</v>
      </c>
      <c r="C16" s="2" t="s">
        <v>117</v>
      </c>
      <c r="D16" s="102">
        <v>1.4999999999999999E-2</v>
      </c>
      <c r="E16" t="s">
        <v>107</v>
      </c>
      <c r="F16" t="s">
        <v>108</v>
      </c>
      <c r="I16" t="s">
        <v>610</v>
      </c>
      <c r="M16" s="6" t="s">
        <v>171</v>
      </c>
      <c r="N16" t="s">
        <v>172</v>
      </c>
      <c r="O16" t="s">
        <v>150</v>
      </c>
      <c r="Q16" s="7" t="s">
        <v>135</v>
      </c>
      <c r="R16" s="6">
        <v>1.5E-5</v>
      </c>
      <c r="S16" s="7">
        <v>2</v>
      </c>
      <c r="T16" s="6">
        <v>0</v>
      </c>
      <c r="U16" s="7"/>
      <c r="V16" s="6">
        <v>0</v>
      </c>
      <c r="W16" s="7"/>
      <c r="X16" s="6">
        <v>0</v>
      </c>
      <c r="Y16" s="7"/>
      <c r="Z16" s="6">
        <v>0</v>
      </c>
      <c r="AA16" s="7"/>
      <c r="AB16" s="6">
        <v>0</v>
      </c>
      <c r="AC16" s="7"/>
      <c r="AD16" s="28">
        <v>0</v>
      </c>
      <c r="AE16" s="6">
        <v>0</v>
      </c>
      <c r="AF16" s="7"/>
      <c r="AG16" s="6">
        <v>0</v>
      </c>
      <c r="AH16" s="7"/>
      <c r="AJ16" s="19" t="s">
        <v>120</v>
      </c>
      <c r="AK16" s="19" t="s">
        <v>173</v>
      </c>
      <c r="AL16" s="19">
        <v>1</v>
      </c>
    </row>
    <row r="17" spans="1:38">
      <c r="A17" s="2" t="s">
        <v>159</v>
      </c>
      <c r="B17" s="2" t="s">
        <v>81</v>
      </c>
      <c r="C17" s="2" t="s">
        <v>123</v>
      </c>
      <c r="D17" s="2" t="s">
        <v>10</v>
      </c>
      <c r="F17" t="s">
        <v>104</v>
      </c>
      <c r="M17" s="6" t="s">
        <v>174</v>
      </c>
      <c r="N17" t="s">
        <v>175</v>
      </c>
      <c r="O17" t="s">
        <v>150</v>
      </c>
      <c r="Q17" s="7" t="s">
        <v>135</v>
      </c>
      <c r="R17" s="6">
        <v>2.9E-4</v>
      </c>
      <c r="S17" s="7">
        <v>2</v>
      </c>
      <c r="T17" s="6">
        <v>0</v>
      </c>
      <c r="U17" s="7"/>
      <c r="V17" s="6">
        <v>0</v>
      </c>
      <c r="W17" s="7"/>
      <c r="X17" s="6">
        <v>0</v>
      </c>
      <c r="Y17" s="7"/>
      <c r="Z17" s="6">
        <v>0</v>
      </c>
      <c r="AA17" s="7"/>
      <c r="AB17" s="6">
        <v>6.3999999999999997E-6</v>
      </c>
      <c r="AC17" s="7">
        <v>17</v>
      </c>
      <c r="AD17" s="28">
        <v>6.4190646219271239E-3</v>
      </c>
      <c r="AE17" s="6">
        <v>7.8800000000000008E-6</v>
      </c>
      <c r="AF17" s="7">
        <v>12</v>
      </c>
      <c r="AG17" s="6">
        <v>9.2499999999999999E-5</v>
      </c>
      <c r="AH17" s="7">
        <v>14</v>
      </c>
      <c r="AJ17" s="19" t="s">
        <v>121</v>
      </c>
      <c r="AK17" s="19" t="s">
        <v>176</v>
      </c>
      <c r="AL17" s="19">
        <v>298</v>
      </c>
    </row>
    <row r="18" spans="1:38">
      <c r="A18" s="2" t="s">
        <v>159</v>
      </c>
      <c r="B18" s="2" t="s">
        <v>81</v>
      </c>
      <c r="C18" s="2" t="s">
        <v>129</v>
      </c>
      <c r="D18" s="2">
        <v>2.8600000000000001E-3</v>
      </c>
      <c r="E18" t="s">
        <v>107</v>
      </c>
      <c r="F18" t="s">
        <v>108</v>
      </c>
      <c r="I18" s="195">
        <f>'Brunot Island CT PTE'!H47/'Brunot Island CT PTE'!G13</f>
        <v>2.832244008714597E-3</v>
      </c>
      <c r="M18" s="6" t="s">
        <v>177</v>
      </c>
      <c r="N18" t="s">
        <v>178</v>
      </c>
      <c r="O18" t="s">
        <v>150</v>
      </c>
      <c r="Q18" s="7"/>
      <c r="R18" s="6">
        <v>1.8E-5</v>
      </c>
      <c r="S18" s="7">
        <v>3</v>
      </c>
      <c r="T18" s="6">
        <v>0</v>
      </c>
      <c r="U18" s="7"/>
      <c r="V18" s="6">
        <v>0</v>
      </c>
      <c r="W18" s="7"/>
      <c r="X18" s="6">
        <v>0</v>
      </c>
      <c r="Y18" s="7"/>
      <c r="Z18" s="6">
        <v>0</v>
      </c>
      <c r="AA18" s="7"/>
      <c r="AB18" s="6">
        <v>0</v>
      </c>
      <c r="AC18" s="7"/>
      <c r="AD18" s="28">
        <v>0</v>
      </c>
      <c r="AE18" s="6">
        <v>0</v>
      </c>
      <c r="AF18" s="7"/>
      <c r="AG18" s="6">
        <v>0</v>
      </c>
      <c r="AH18" s="7"/>
      <c r="AJ18" s="19" t="s">
        <v>122</v>
      </c>
      <c r="AK18" s="19" t="s">
        <v>179</v>
      </c>
      <c r="AL18" s="19">
        <v>25</v>
      </c>
    </row>
    <row r="19" spans="1:38">
      <c r="A19" s="2" t="s">
        <v>159</v>
      </c>
      <c r="B19" s="2" t="s">
        <v>81</v>
      </c>
      <c r="C19" s="2" t="s">
        <v>131</v>
      </c>
      <c r="D19" s="101">
        <f>'Brunot Island CT PTE'!E47/'Brunot Island CT PTE'!G13</f>
        <v>1.2854030501089325E-2</v>
      </c>
      <c r="E19" s="105" t="s">
        <v>107</v>
      </c>
      <c r="F19" t="s">
        <v>160</v>
      </c>
      <c r="I19" s="196">
        <f>'Brunot Island CT PTE'!E47/'Brunot Island CT PTE'!G13</f>
        <v>1.2854030501089325E-2</v>
      </c>
      <c r="M19" s="6" t="s">
        <v>180</v>
      </c>
      <c r="N19" t="s">
        <v>181</v>
      </c>
      <c r="O19" t="s">
        <v>150</v>
      </c>
      <c r="Q19" s="7"/>
      <c r="R19" s="6">
        <v>4.0999999999999999E-4</v>
      </c>
      <c r="S19" s="7">
        <v>3</v>
      </c>
      <c r="T19" s="6">
        <v>3.9999999999999998E-6</v>
      </c>
      <c r="U19" s="7">
        <v>6</v>
      </c>
      <c r="V19" s="6">
        <v>0</v>
      </c>
      <c r="W19" s="7"/>
      <c r="X19" s="6">
        <v>2.0000000000000001E-4</v>
      </c>
      <c r="Y19" s="7">
        <v>11</v>
      </c>
      <c r="Z19" s="6">
        <v>1.1E-5</v>
      </c>
      <c r="AA19" s="7">
        <v>19</v>
      </c>
      <c r="AB19" s="6">
        <v>0</v>
      </c>
      <c r="AC19" s="7"/>
      <c r="AD19" s="28">
        <v>0</v>
      </c>
      <c r="AE19" s="6">
        <v>0</v>
      </c>
      <c r="AF19" s="7"/>
      <c r="AG19" s="6">
        <v>0</v>
      </c>
      <c r="AH19" s="7"/>
    </row>
    <row r="20" spans="1:38">
      <c r="A20" s="2" t="s">
        <v>159</v>
      </c>
      <c r="B20" s="2" t="s">
        <v>81</v>
      </c>
      <c r="C20" s="2" t="s">
        <v>135</v>
      </c>
      <c r="D20" s="101">
        <f>12*2000/'Brunot Island CT PTE'!G13/8760</f>
        <v>2.9844510102366669E-3</v>
      </c>
      <c r="E20" t="s">
        <v>469</v>
      </c>
      <c r="F20" t="s">
        <v>160</v>
      </c>
      <c r="I20" s="196">
        <f>'Brunot Island CT PTE'!F47/'Brunot Island CT PTE'!G13</f>
        <v>3.2679738562091504E-3</v>
      </c>
      <c r="M20" s="6" t="s">
        <v>182</v>
      </c>
      <c r="N20" t="s">
        <v>157</v>
      </c>
      <c r="O20" t="s">
        <v>150</v>
      </c>
      <c r="Q20" s="7" t="s">
        <v>135</v>
      </c>
      <c r="R20" s="6">
        <v>1.2999999999999999E-3</v>
      </c>
      <c r="S20" s="7">
        <v>2</v>
      </c>
      <c r="T20" s="6">
        <v>0</v>
      </c>
      <c r="U20" s="7"/>
      <c r="V20" s="6">
        <v>0</v>
      </c>
      <c r="W20" s="7"/>
      <c r="X20" s="6">
        <v>2.0999999999999999E-3</v>
      </c>
      <c r="Y20" s="7">
        <v>10</v>
      </c>
      <c r="Z20" s="6">
        <v>5.5000000000000002E-5</v>
      </c>
      <c r="AA20" s="7">
        <v>18</v>
      </c>
      <c r="AB20" s="6">
        <v>1.2E-5</v>
      </c>
      <c r="AC20" s="7">
        <v>17</v>
      </c>
      <c r="AD20" s="28">
        <v>1.2035746166113359E-2</v>
      </c>
      <c r="AE20" s="6">
        <v>7.76E-4</v>
      </c>
      <c r="AF20" s="7">
        <v>12</v>
      </c>
      <c r="AG20" s="6">
        <v>9.3300000000000002E-4</v>
      </c>
      <c r="AH20" s="7">
        <v>14</v>
      </c>
    </row>
    <row r="21" spans="1:38">
      <c r="A21" s="2" t="s">
        <v>159</v>
      </c>
      <c r="B21" s="2" t="s">
        <v>81</v>
      </c>
      <c r="C21" s="2" t="s">
        <v>146</v>
      </c>
      <c r="D21" s="101">
        <f>'Brunot Island CT PTE'!G69*2000/'Brunot Island CT PTE'!G13/8760</f>
        <v>4.357298474945534E-2</v>
      </c>
      <c r="E21" t="s">
        <v>469</v>
      </c>
      <c r="F21" t="s">
        <v>160</v>
      </c>
      <c r="I21" s="195">
        <f>'Brunot Island CT PTE'!G47/'Brunot Island CT PTE'!G13</f>
        <v>4.357298474945534E-2</v>
      </c>
      <c r="M21" s="6" t="s">
        <v>183</v>
      </c>
      <c r="N21" t="s">
        <v>184</v>
      </c>
      <c r="O21" t="s">
        <v>150</v>
      </c>
      <c r="Q21" s="7" t="s">
        <v>135</v>
      </c>
      <c r="R21" s="6">
        <v>6.9999999999999999E-4</v>
      </c>
      <c r="S21" s="7">
        <v>2</v>
      </c>
      <c r="T21" s="6">
        <v>0</v>
      </c>
      <c r="U21" s="7"/>
      <c r="V21" s="6">
        <v>0</v>
      </c>
      <c r="W21" s="7"/>
      <c r="X21" s="6">
        <v>0</v>
      </c>
      <c r="Y21" s="7"/>
      <c r="Z21" s="6">
        <v>0</v>
      </c>
      <c r="AA21" s="7"/>
      <c r="AB21" s="6">
        <v>0</v>
      </c>
      <c r="AC21" s="7"/>
      <c r="AD21" s="28">
        <v>0</v>
      </c>
      <c r="AE21" s="6">
        <v>0</v>
      </c>
      <c r="AF21" s="7"/>
      <c r="AG21" s="6">
        <v>0</v>
      </c>
      <c r="AH21" s="7"/>
      <c r="AJ21" s="1" t="s">
        <v>185</v>
      </c>
    </row>
    <row r="22" spans="1:38">
      <c r="A22" s="2" t="s">
        <v>159</v>
      </c>
      <c r="B22" s="2" t="s">
        <v>81</v>
      </c>
      <c r="C22" s="2" t="s">
        <v>120</v>
      </c>
      <c r="D22" s="2"/>
      <c r="M22" s="6" t="s">
        <v>186</v>
      </c>
      <c r="N22" t="s">
        <v>187</v>
      </c>
      <c r="O22" t="s">
        <v>150</v>
      </c>
      <c r="Q22" s="7"/>
      <c r="R22" s="6">
        <v>2.0999999999999999E-5</v>
      </c>
      <c r="S22" s="7">
        <v>3</v>
      </c>
      <c r="T22" s="6">
        <v>3.0000000000000001E-6</v>
      </c>
      <c r="U22" s="7">
        <v>6</v>
      </c>
      <c r="V22" s="6">
        <v>0</v>
      </c>
      <c r="W22" s="7"/>
      <c r="X22" s="6">
        <v>1.2E-5</v>
      </c>
      <c r="Y22" s="7">
        <v>11</v>
      </c>
      <c r="Z22" s="6">
        <v>3.1E-7</v>
      </c>
      <c r="AA22" s="7">
        <v>19</v>
      </c>
      <c r="AB22" s="6">
        <v>0</v>
      </c>
      <c r="AC22" s="7"/>
      <c r="AD22" s="28">
        <v>0</v>
      </c>
      <c r="AE22" s="6">
        <v>0</v>
      </c>
      <c r="AF22" s="7"/>
      <c r="AG22" s="6">
        <v>0</v>
      </c>
      <c r="AH22" s="7"/>
      <c r="AJ22" t="s">
        <v>188</v>
      </c>
      <c r="AK22">
        <v>2.2046199999999998</v>
      </c>
      <c r="AL22" t="s">
        <v>189</v>
      </c>
    </row>
    <row r="23" spans="1:38">
      <c r="A23" s="18" t="s">
        <v>159</v>
      </c>
      <c r="B23" s="18" t="s">
        <v>81</v>
      </c>
      <c r="C23" s="18" t="s">
        <v>155</v>
      </c>
      <c r="D23" s="18"/>
      <c r="E23" s="9"/>
      <c r="F23" s="9"/>
      <c r="G23" s="9"/>
      <c r="H23" s="9"/>
      <c r="M23" s="6" t="s">
        <v>190</v>
      </c>
      <c r="N23" t="s">
        <v>191</v>
      </c>
      <c r="O23" t="s">
        <v>150</v>
      </c>
      <c r="Q23" s="7" t="s">
        <v>135</v>
      </c>
      <c r="R23" s="6">
        <v>1.7E-6</v>
      </c>
      <c r="S23" s="7">
        <v>1</v>
      </c>
      <c r="T23" s="6">
        <v>0</v>
      </c>
      <c r="U23" s="7"/>
      <c r="V23" s="6">
        <v>0</v>
      </c>
      <c r="W23" s="7"/>
      <c r="X23" s="6">
        <v>0</v>
      </c>
      <c r="Y23" s="7"/>
      <c r="Z23" s="6">
        <v>0</v>
      </c>
      <c r="AA23" s="7"/>
      <c r="AB23" s="6">
        <v>0</v>
      </c>
      <c r="AC23" s="7"/>
      <c r="AD23" s="28">
        <v>0</v>
      </c>
      <c r="AE23" s="6">
        <v>0</v>
      </c>
      <c r="AF23" s="7"/>
      <c r="AG23" s="6">
        <v>0</v>
      </c>
      <c r="AH23" s="7"/>
      <c r="AJ23" t="s">
        <v>192</v>
      </c>
      <c r="AK23">
        <v>1.1023000000000001</v>
      </c>
      <c r="AL23" t="s">
        <v>193</v>
      </c>
    </row>
    <row r="24" spans="1:38">
      <c r="A24" s="2" t="s">
        <v>159</v>
      </c>
      <c r="B24" s="2" t="s">
        <v>85</v>
      </c>
      <c r="C24" s="2" t="s">
        <v>103</v>
      </c>
      <c r="D24" s="101">
        <f>D13</f>
        <v>1.5250544662309368E-2</v>
      </c>
      <c r="E24" t="s">
        <v>469</v>
      </c>
      <c r="F24" t="s">
        <v>160</v>
      </c>
      <c r="M24" s="6" t="s">
        <v>194</v>
      </c>
      <c r="N24" t="s">
        <v>195</v>
      </c>
      <c r="O24" t="s">
        <v>150</v>
      </c>
      <c r="Q24" s="7" t="s">
        <v>135</v>
      </c>
      <c r="R24" s="6">
        <v>7.2999999999999999E-5</v>
      </c>
      <c r="S24" s="7">
        <v>2</v>
      </c>
      <c r="T24" s="6">
        <v>0</v>
      </c>
      <c r="U24" s="7"/>
      <c r="V24" s="6">
        <v>0</v>
      </c>
      <c r="W24" s="7"/>
      <c r="X24" s="6">
        <v>0</v>
      </c>
      <c r="Y24" s="7"/>
      <c r="Z24" s="6">
        <v>0</v>
      </c>
      <c r="AA24" s="7"/>
      <c r="AB24" s="6">
        <v>0</v>
      </c>
      <c r="AC24" s="7"/>
      <c r="AD24" s="28">
        <v>0</v>
      </c>
      <c r="AE24" s="6">
        <v>0</v>
      </c>
      <c r="AF24" s="7"/>
      <c r="AG24" s="6">
        <v>0</v>
      </c>
      <c r="AH24" s="7"/>
    </row>
    <row r="25" spans="1:38">
      <c r="A25" s="2" t="s">
        <v>159</v>
      </c>
      <c r="B25" s="2" t="s">
        <v>85</v>
      </c>
      <c r="C25" s="2" t="s">
        <v>106</v>
      </c>
      <c r="D25" s="102">
        <v>1.4999999999999999E-2</v>
      </c>
      <c r="E25" t="s">
        <v>107</v>
      </c>
      <c r="F25" t="s">
        <v>470</v>
      </c>
      <c r="M25" s="6" t="s">
        <v>196</v>
      </c>
      <c r="N25" t="s">
        <v>197</v>
      </c>
      <c r="O25" t="s">
        <v>150</v>
      </c>
      <c r="Q25" s="7" t="s">
        <v>135</v>
      </c>
      <c r="R25" s="6">
        <v>3.8999999999999999E-5</v>
      </c>
      <c r="S25" s="7">
        <v>2</v>
      </c>
      <c r="T25" s="6">
        <v>0</v>
      </c>
      <c r="U25" s="7"/>
      <c r="V25" s="6">
        <v>0</v>
      </c>
      <c r="W25" s="7"/>
      <c r="X25" s="6">
        <v>0</v>
      </c>
      <c r="Y25" s="7"/>
      <c r="Z25" s="6">
        <v>0</v>
      </c>
      <c r="AA25" s="7"/>
      <c r="AB25" s="6">
        <v>0</v>
      </c>
      <c r="AC25" s="7"/>
      <c r="AD25" s="28">
        <v>0</v>
      </c>
      <c r="AE25" s="6">
        <v>0</v>
      </c>
      <c r="AF25" s="7"/>
      <c r="AG25" s="6">
        <v>0</v>
      </c>
      <c r="AH25" s="7"/>
    </row>
    <row r="26" spans="1:38">
      <c r="A26" s="2" t="s">
        <v>159</v>
      </c>
      <c r="B26" s="2" t="s">
        <v>85</v>
      </c>
      <c r="C26" s="2" t="s">
        <v>109</v>
      </c>
      <c r="D26" s="102">
        <v>4.7000000000000002E-3</v>
      </c>
      <c r="E26" t="s">
        <v>107</v>
      </c>
      <c r="F26" t="s">
        <v>110</v>
      </c>
      <c r="M26" s="6" t="s">
        <v>198</v>
      </c>
      <c r="N26" t="s">
        <v>199</v>
      </c>
      <c r="O26" t="s">
        <v>150</v>
      </c>
      <c r="Q26" s="7"/>
      <c r="R26" s="6">
        <v>5.1E-5</v>
      </c>
      <c r="S26" s="7">
        <v>3</v>
      </c>
      <c r="T26" s="6">
        <v>3.0000000000000001E-6</v>
      </c>
      <c r="U26" s="7">
        <v>6</v>
      </c>
      <c r="V26" s="6">
        <v>0</v>
      </c>
      <c r="W26" s="7"/>
      <c r="X26" s="6">
        <v>1.1000000000000001E-3</v>
      </c>
      <c r="Y26" s="7">
        <v>11</v>
      </c>
      <c r="Z26" s="6">
        <v>4.7999999999999998E-6</v>
      </c>
      <c r="AA26" s="7">
        <v>19</v>
      </c>
      <c r="AB26" s="6">
        <v>0</v>
      </c>
      <c r="AC26" s="7"/>
      <c r="AD26" s="28">
        <v>0</v>
      </c>
      <c r="AE26" s="6">
        <v>0</v>
      </c>
      <c r="AF26" s="7"/>
      <c r="AG26" s="6">
        <v>0</v>
      </c>
      <c r="AH26" s="7"/>
    </row>
    <row r="27" spans="1:38">
      <c r="A27" s="2" t="s">
        <v>159</v>
      </c>
      <c r="B27" s="2" t="s">
        <v>85</v>
      </c>
      <c r="C27" s="2" t="s">
        <v>117</v>
      </c>
      <c r="D27" s="102">
        <v>1.4999999999999999E-2</v>
      </c>
      <c r="E27" t="s">
        <v>107</v>
      </c>
      <c r="F27" t="s">
        <v>108</v>
      </c>
      <c r="M27" s="6" t="s">
        <v>200</v>
      </c>
      <c r="N27" t="s">
        <v>201</v>
      </c>
      <c r="O27" t="s">
        <v>150</v>
      </c>
      <c r="Q27" s="7" t="s">
        <v>135</v>
      </c>
      <c r="R27" s="6">
        <v>1.2999999999999999E-4</v>
      </c>
      <c r="S27" s="7">
        <v>2</v>
      </c>
      <c r="T27" s="6">
        <v>0</v>
      </c>
      <c r="U27" s="7"/>
      <c r="V27" s="6">
        <v>0</v>
      </c>
      <c r="W27" s="7"/>
      <c r="X27" s="6">
        <v>0</v>
      </c>
      <c r="Y27" s="7"/>
      <c r="Z27" s="6">
        <v>0</v>
      </c>
      <c r="AA27" s="7"/>
      <c r="AB27" s="6">
        <v>0</v>
      </c>
      <c r="AC27" s="7"/>
      <c r="AD27" s="28">
        <v>0</v>
      </c>
      <c r="AE27" s="6">
        <v>0</v>
      </c>
      <c r="AF27" s="7"/>
      <c r="AG27" s="6">
        <v>0</v>
      </c>
      <c r="AH27" s="7"/>
    </row>
    <row r="28" spans="1:38">
      <c r="A28" s="2" t="s">
        <v>159</v>
      </c>
      <c r="B28" s="2" t="s">
        <v>85</v>
      </c>
      <c r="C28" s="2" t="s">
        <v>123</v>
      </c>
      <c r="D28" s="2" t="s">
        <v>10</v>
      </c>
      <c r="F28" t="s">
        <v>104</v>
      </c>
      <c r="M28" s="6" t="s">
        <v>202</v>
      </c>
      <c r="N28" t="s">
        <v>203</v>
      </c>
      <c r="O28" t="s">
        <v>150</v>
      </c>
      <c r="Q28" s="7" t="s">
        <v>135</v>
      </c>
      <c r="R28" s="6">
        <v>2.1999999999999999E-5</v>
      </c>
      <c r="S28" s="7">
        <v>2</v>
      </c>
      <c r="T28" s="6">
        <v>0</v>
      </c>
      <c r="U28" s="7"/>
      <c r="V28" s="6">
        <v>0</v>
      </c>
      <c r="W28" s="7"/>
      <c r="X28" s="6">
        <v>0</v>
      </c>
      <c r="Y28" s="7"/>
      <c r="Z28" s="6">
        <v>0</v>
      </c>
      <c r="AA28" s="7"/>
      <c r="AB28" s="6">
        <v>0</v>
      </c>
      <c r="AC28" s="7"/>
      <c r="AD28" s="28">
        <v>0</v>
      </c>
      <c r="AE28" s="6">
        <v>0</v>
      </c>
      <c r="AF28" s="7"/>
      <c r="AG28" s="6">
        <v>0</v>
      </c>
      <c r="AH28" s="7"/>
    </row>
    <row r="29" spans="1:38">
      <c r="A29" s="2" t="s">
        <v>159</v>
      </c>
      <c r="B29" s="2" t="s">
        <v>85</v>
      </c>
      <c r="C29" s="2" t="s">
        <v>129</v>
      </c>
      <c r="D29" s="2">
        <v>2.8600000000000001E-3</v>
      </c>
      <c r="E29" t="s">
        <v>107</v>
      </c>
      <c r="F29" t="s">
        <v>108</v>
      </c>
      <c r="M29" s="6" t="s">
        <v>204</v>
      </c>
      <c r="N29" t="s">
        <v>205</v>
      </c>
      <c r="O29" t="s">
        <v>150</v>
      </c>
      <c r="Q29" s="7" t="s">
        <v>135</v>
      </c>
      <c r="R29" s="6">
        <v>5.8999999999999998E-5</v>
      </c>
      <c r="S29" s="7">
        <v>2</v>
      </c>
      <c r="T29" s="6">
        <v>0</v>
      </c>
      <c r="U29" s="7"/>
      <c r="V29" s="6">
        <v>0</v>
      </c>
      <c r="W29" s="7"/>
      <c r="X29" s="6">
        <v>0</v>
      </c>
      <c r="Y29" s="7"/>
      <c r="Z29" s="6">
        <v>0</v>
      </c>
      <c r="AA29" s="7"/>
      <c r="AB29" s="6">
        <v>0</v>
      </c>
      <c r="AC29" s="7"/>
      <c r="AD29" s="28">
        <v>0</v>
      </c>
      <c r="AE29" s="6">
        <v>0</v>
      </c>
      <c r="AF29" s="7"/>
      <c r="AG29" s="6">
        <v>0</v>
      </c>
      <c r="AH29" s="7"/>
    </row>
    <row r="30" spans="1:38">
      <c r="A30" s="2" t="s">
        <v>159</v>
      </c>
      <c r="B30" s="2" t="s">
        <v>85</v>
      </c>
      <c r="C30" s="2" t="s">
        <v>131</v>
      </c>
      <c r="D30" s="101">
        <f>D19</f>
        <v>1.2854030501089325E-2</v>
      </c>
      <c r="E30" s="105" t="s">
        <v>107</v>
      </c>
      <c r="F30" t="s">
        <v>160</v>
      </c>
      <c r="M30" s="6" t="s">
        <v>206</v>
      </c>
      <c r="N30" t="s">
        <v>207</v>
      </c>
      <c r="O30" t="s">
        <v>150</v>
      </c>
      <c r="Q30" s="7"/>
      <c r="R30" s="6">
        <v>2.5999999999999998E-4</v>
      </c>
      <c r="S30" s="7">
        <v>3</v>
      </c>
      <c r="T30" s="6">
        <v>3.0000000000000001E-6</v>
      </c>
      <c r="U30" s="7">
        <v>6</v>
      </c>
      <c r="V30" s="6">
        <v>0</v>
      </c>
      <c r="W30" s="7"/>
      <c r="X30" s="6">
        <v>1.4E-3</v>
      </c>
      <c r="Y30" s="7">
        <v>11</v>
      </c>
      <c r="Z30" s="6">
        <v>1.1E-5</v>
      </c>
      <c r="AA30" s="7">
        <v>19</v>
      </c>
      <c r="AB30" s="6">
        <v>0</v>
      </c>
      <c r="AC30" s="7"/>
      <c r="AD30" s="28">
        <v>0</v>
      </c>
      <c r="AE30" s="6">
        <v>0</v>
      </c>
      <c r="AF30" s="7"/>
      <c r="AG30" s="6">
        <v>0</v>
      </c>
      <c r="AH30" s="7"/>
    </row>
    <row r="31" spans="1:38">
      <c r="A31" s="2" t="s">
        <v>159</v>
      </c>
      <c r="B31" s="2" t="s">
        <v>85</v>
      </c>
      <c r="C31" s="2" t="s">
        <v>135</v>
      </c>
      <c r="D31" s="101">
        <f>D20</f>
        <v>2.9844510102366669E-3</v>
      </c>
      <c r="E31" t="s">
        <v>469</v>
      </c>
      <c r="F31" t="s">
        <v>160</v>
      </c>
      <c r="M31" s="6" t="s">
        <v>208</v>
      </c>
      <c r="N31" t="s">
        <v>209</v>
      </c>
      <c r="O31" t="s">
        <v>150</v>
      </c>
      <c r="Q31" s="7"/>
      <c r="R31" s="6">
        <v>1E-4</v>
      </c>
      <c r="S31" s="7">
        <v>3</v>
      </c>
      <c r="T31" s="6">
        <v>0</v>
      </c>
      <c r="U31" s="7"/>
      <c r="V31" s="6">
        <v>0</v>
      </c>
      <c r="W31" s="7"/>
      <c r="X31" s="6">
        <v>8.3999999999999995E-5</v>
      </c>
      <c r="Y31" s="7">
        <v>11</v>
      </c>
      <c r="Z31" s="6">
        <v>0</v>
      </c>
      <c r="AA31" s="7"/>
      <c r="AB31" s="6">
        <v>0</v>
      </c>
      <c r="AC31" s="7"/>
      <c r="AD31" s="28">
        <v>0</v>
      </c>
      <c r="AE31" s="6">
        <v>0</v>
      </c>
      <c r="AF31" s="7"/>
      <c r="AG31" s="6">
        <v>0</v>
      </c>
      <c r="AH31" s="7"/>
    </row>
    <row r="32" spans="1:38">
      <c r="A32" s="2" t="s">
        <v>159</v>
      </c>
      <c r="B32" s="2" t="s">
        <v>85</v>
      </c>
      <c r="C32" s="2" t="s">
        <v>146</v>
      </c>
      <c r="D32" s="101">
        <f>D21</f>
        <v>4.357298474945534E-2</v>
      </c>
      <c r="E32" t="s">
        <v>469</v>
      </c>
      <c r="F32" t="s">
        <v>160</v>
      </c>
      <c r="M32" s="6" t="s">
        <v>210</v>
      </c>
      <c r="N32" t="s">
        <v>211</v>
      </c>
      <c r="O32" t="s">
        <v>150</v>
      </c>
      <c r="Q32" s="7" t="s">
        <v>135</v>
      </c>
      <c r="R32" s="6">
        <v>5.3000000000000001E-6</v>
      </c>
      <c r="S32" s="7">
        <v>2</v>
      </c>
      <c r="T32" s="6">
        <v>0</v>
      </c>
      <c r="U32" s="7"/>
      <c r="V32" s="6">
        <v>0</v>
      </c>
      <c r="W32" s="7"/>
      <c r="X32" s="6">
        <v>0</v>
      </c>
      <c r="Y32" s="7"/>
      <c r="Z32" s="6">
        <v>0</v>
      </c>
      <c r="AA32" s="7"/>
      <c r="AB32" s="6">
        <v>0</v>
      </c>
      <c r="AC32" s="7"/>
      <c r="AD32" s="28">
        <v>0</v>
      </c>
      <c r="AE32" s="6">
        <v>0</v>
      </c>
      <c r="AF32" s="7"/>
      <c r="AG32" s="6">
        <v>0</v>
      </c>
      <c r="AH32" s="7"/>
    </row>
    <row r="33" spans="1:34">
      <c r="A33" s="2" t="s">
        <v>159</v>
      </c>
      <c r="B33" s="2" t="s">
        <v>85</v>
      </c>
      <c r="C33" s="2" t="s">
        <v>120</v>
      </c>
      <c r="D33" s="2"/>
      <c r="M33" s="6" t="s">
        <v>212</v>
      </c>
      <c r="N33" t="s">
        <v>213</v>
      </c>
      <c r="O33" t="s">
        <v>150</v>
      </c>
      <c r="Q33" s="7"/>
      <c r="R33" s="6">
        <v>2.5000000000000001E-3</v>
      </c>
      <c r="S33" s="7">
        <v>2</v>
      </c>
      <c r="T33" s="6">
        <v>0</v>
      </c>
      <c r="U33" s="7"/>
      <c r="V33" s="6">
        <v>0</v>
      </c>
      <c r="W33" s="7"/>
      <c r="X33" s="6">
        <v>0</v>
      </c>
      <c r="Y33" s="7"/>
      <c r="Z33" s="6">
        <v>0</v>
      </c>
      <c r="AA33" s="7"/>
      <c r="AB33" s="6">
        <v>0</v>
      </c>
      <c r="AC33" s="7"/>
      <c r="AD33" s="28">
        <v>0</v>
      </c>
      <c r="AE33" s="6">
        <v>0</v>
      </c>
      <c r="AF33" s="7"/>
      <c r="AG33" s="6">
        <v>0</v>
      </c>
      <c r="AH33" s="7"/>
    </row>
    <row r="34" spans="1:34">
      <c r="A34" s="18" t="s">
        <v>159</v>
      </c>
      <c r="B34" s="18" t="s">
        <v>85</v>
      </c>
      <c r="C34" s="18" t="s">
        <v>155</v>
      </c>
      <c r="D34" s="18"/>
      <c r="E34" s="9"/>
      <c r="F34" s="9"/>
      <c r="G34" s="9"/>
      <c r="H34" s="9"/>
      <c r="M34" s="6" t="s">
        <v>214</v>
      </c>
      <c r="N34" t="s">
        <v>215</v>
      </c>
      <c r="O34" t="s">
        <v>150</v>
      </c>
      <c r="Q34" s="7" t="s">
        <v>135</v>
      </c>
      <c r="R34" s="6">
        <v>0</v>
      </c>
      <c r="S34" s="7"/>
      <c r="T34" s="6">
        <v>0</v>
      </c>
      <c r="U34" s="7"/>
      <c r="V34" s="6">
        <v>0</v>
      </c>
      <c r="W34" s="7"/>
      <c r="X34" s="6">
        <v>1.1999999999999999E-3</v>
      </c>
      <c r="Y34" s="7">
        <v>10</v>
      </c>
      <c r="Z34" s="6">
        <v>0</v>
      </c>
      <c r="AA34" s="7"/>
      <c r="AB34" s="6">
        <v>0</v>
      </c>
      <c r="AC34" s="7"/>
      <c r="AD34" s="28">
        <v>0</v>
      </c>
      <c r="AE34" s="6">
        <v>0</v>
      </c>
      <c r="AF34" s="7"/>
      <c r="AG34" s="6">
        <v>0</v>
      </c>
      <c r="AH34" s="7"/>
    </row>
    <row r="35" spans="1:34">
      <c r="A35" s="2" t="s">
        <v>159</v>
      </c>
      <c r="B35" s="2" t="s">
        <v>86</v>
      </c>
      <c r="C35" s="2" t="s">
        <v>103</v>
      </c>
      <c r="D35" s="101">
        <f>D13</f>
        <v>1.5250544662309368E-2</v>
      </c>
      <c r="E35" t="s">
        <v>469</v>
      </c>
      <c r="F35" t="s">
        <v>160</v>
      </c>
      <c r="M35" s="6" t="s">
        <v>216</v>
      </c>
      <c r="N35" t="s">
        <v>217</v>
      </c>
      <c r="O35" t="s">
        <v>150</v>
      </c>
      <c r="Q35" s="7" t="s">
        <v>135</v>
      </c>
      <c r="R35" s="6">
        <v>4.8000000000000001E-5</v>
      </c>
      <c r="S35" s="7">
        <v>2</v>
      </c>
      <c r="T35" s="6">
        <v>0</v>
      </c>
      <c r="U35" s="7"/>
      <c r="V35" s="6">
        <v>0</v>
      </c>
      <c r="W35" s="7"/>
      <c r="X35" s="6">
        <v>0</v>
      </c>
      <c r="Y35" s="7"/>
      <c r="Z35" s="6">
        <v>0</v>
      </c>
      <c r="AA35" s="7"/>
      <c r="AB35" s="6">
        <v>0</v>
      </c>
      <c r="AC35" s="7"/>
      <c r="AD35" s="28">
        <v>0</v>
      </c>
      <c r="AE35" s="6">
        <v>0</v>
      </c>
      <c r="AF35" s="7"/>
      <c r="AG35" s="6">
        <v>0</v>
      </c>
      <c r="AH35" s="7"/>
    </row>
    <row r="36" spans="1:34">
      <c r="A36" s="2" t="s">
        <v>159</v>
      </c>
      <c r="B36" s="2" t="s">
        <v>86</v>
      </c>
      <c r="C36" s="2" t="s">
        <v>106</v>
      </c>
      <c r="D36" s="102">
        <v>1.4999999999999999E-2</v>
      </c>
      <c r="E36" t="s">
        <v>107</v>
      </c>
      <c r="F36" t="s">
        <v>470</v>
      </c>
      <c r="M36" s="6" t="s">
        <v>218</v>
      </c>
      <c r="Q36" s="7" t="s">
        <v>135</v>
      </c>
      <c r="R36" s="6">
        <v>6.6599999999999997E-10</v>
      </c>
      <c r="S36" s="7">
        <v>15</v>
      </c>
      <c r="T36" s="6">
        <v>0</v>
      </c>
      <c r="U36" s="7"/>
      <c r="V36" s="6">
        <v>0</v>
      </c>
      <c r="W36" s="7"/>
      <c r="X36" s="6">
        <v>0</v>
      </c>
      <c r="Y36" s="7"/>
      <c r="Z36" s="6">
        <v>0</v>
      </c>
      <c r="AA36" s="7"/>
      <c r="AB36" s="6">
        <v>0</v>
      </c>
      <c r="AC36" s="7"/>
      <c r="AD36" s="28">
        <v>0</v>
      </c>
      <c r="AE36" s="6">
        <v>0</v>
      </c>
      <c r="AF36" s="7"/>
      <c r="AG36" s="6">
        <v>0</v>
      </c>
      <c r="AH36" s="7"/>
    </row>
    <row r="37" spans="1:34">
      <c r="A37" s="2" t="s">
        <v>159</v>
      </c>
      <c r="B37" s="2" t="s">
        <v>86</v>
      </c>
      <c r="C37" s="2" t="s">
        <v>109</v>
      </c>
      <c r="D37" s="102">
        <v>4.7000000000000002E-3</v>
      </c>
      <c r="E37" t="s">
        <v>107</v>
      </c>
      <c r="F37" t="s">
        <v>110</v>
      </c>
      <c r="M37" s="6" t="s">
        <v>219</v>
      </c>
      <c r="N37" t="s">
        <v>220</v>
      </c>
      <c r="O37" t="s">
        <v>150</v>
      </c>
      <c r="Q37" s="7" t="s">
        <v>135</v>
      </c>
      <c r="R37" s="6">
        <v>9.3999999999999994E-5</v>
      </c>
      <c r="S37" s="7">
        <v>2</v>
      </c>
      <c r="T37" s="6">
        <v>0</v>
      </c>
      <c r="U37" s="7"/>
      <c r="V37" s="6">
        <v>0</v>
      </c>
      <c r="W37" s="7"/>
      <c r="X37" s="6">
        <v>0</v>
      </c>
      <c r="Y37" s="7"/>
      <c r="Z37" s="6">
        <v>0</v>
      </c>
      <c r="AA37" s="7"/>
      <c r="AB37" s="6">
        <v>3.1999999999999999E-5</v>
      </c>
      <c r="AC37" s="7">
        <v>17</v>
      </c>
      <c r="AD37" s="28">
        <v>3.2095323109635622E-2</v>
      </c>
      <c r="AE37" s="6">
        <v>0</v>
      </c>
      <c r="AF37" s="7"/>
      <c r="AG37" s="6">
        <v>0</v>
      </c>
      <c r="AH37" s="7"/>
    </row>
    <row r="38" spans="1:34">
      <c r="A38" s="2" t="s">
        <v>159</v>
      </c>
      <c r="B38" s="2" t="s">
        <v>86</v>
      </c>
      <c r="C38" s="2" t="s">
        <v>117</v>
      </c>
      <c r="D38" s="102">
        <v>1.4999999999999999E-2</v>
      </c>
      <c r="E38" t="s">
        <v>107</v>
      </c>
      <c r="F38" t="s">
        <v>108</v>
      </c>
      <c r="M38" s="6" t="s">
        <v>221</v>
      </c>
      <c r="N38" t="s">
        <v>222</v>
      </c>
      <c r="O38" t="s">
        <v>150</v>
      </c>
      <c r="Q38" s="7" t="s">
        <v>135</v>
      </c>
      <c r="R38" s="6">
        <v>4.1999999999999998E-5</v>
      </c>
      <c r="S38" s="7">
        <v>2</v>
      </c>
      <c r="T38" s="6">
        <v>0</v>
      </c>
      <c r="U38" s="7"/>
      <c r="V38" s="6">
        <v>0</v>
      </c>
      <c r="W38" s="7"/>
      <c r="X38" s="6">
        <v>0</v>
      </c>
      <c r="Y38" s="7"/>
      <c r="Z38" s="6">
        <v>0</v>
      </c>
      <c r="AA38" s="7"/>
      <c r="AB38" s="6">
        <v>0</v>
      </c>
      <c r="AC38" s="7"/>
      <c r="AD38" s="28">
        <v>0</v>
      </c>
      <c r="AE38" s="6">
        <v>0</v>
      </c>
      <c r="AF38" s="7"/>
      <c r="AG38" s="6">
        <v>0</v>
      </c>
      <c r="AH38" s="7"/>
    </row>
    <row r="39" spans="1:34">
      <c r="A39" s="2" t="s">
        <v>159</v>
      </c>
      <c r="B39" s="2" t="s">
        <v>86</v>
      </c>
      <c r="C39" s="2" t="s">
        <v>123</v>
      </c>
      <c r="D39" s="2" t="s">
        <v>10</v>
      </c>
      <c r="F39" t="s">
        <v>104</v>
      </c>
      <c r="M39" s="6" t="s">
        <v>223</v>
      </c>
      <c r="N39" t="s">
        <v>224</v>
      </c>
      <c r="O39" t="s">
        <v>150</v>
      </c>
      <c r="Q39" s="7" t="s">
        <v>135</v>
      </c>
      <c r="R39" s="6">
        <v>1.1999999999999999E-6</v>
      </c>
      <c r="S39" s="7">
        <v>2</v>
      </c>
      <c r="T39" s="6">
        <v>0</v>
      </c>
      <c r="U39" s="7"/>
      <c r="V39" s="6">
        <v>0</v>
      </c>
      <c r="W39" s="7"/>
      <c r="X39" s="6">
        <v>0</v>
      </c>
      <c r="Y39" s="7"/>
      <c r="Z39" s="6">
        <v>0</v>
      </c>
      <c r="AA39" s="7"/>
      <c r="AB39" s="6">
        <v>0</v>
      </c>
      <c r="AC39" s="7"/>
      <c r="AD39" s="28">
        <v>0</v>
      </c>
      <c r="AE39" s="6">
        <v>0</v>
      </c>
      <c r="AF39" s="7"/>
      <c r="AG39" s="6">
        <v>0</v>
      </c>
      <c r="AH39" s="7"/>
    </row>
    <row r="40" spans="1:34">
      <c r="A40" s="2" t="s">
        <v>159</v>
      </c>
      <c r="B40" s="2" t="s">
        <v>86</v>
      </c>
      <c r="C40" s="2" t="s">
        <v>129</v>
      </c>
      <c r="D40" s="2">
        <v>2.8600000000000001E-3</v>
      </c>
      <c r="E40" t="s">
        <v>107</v>
      </c>
      <c r="F40" t="s">
        <v>108</v>
      </c>
      <c r="M40" s="6" t="s">
        <v>225</v>
      </c>
      <c r="N40" t="s">
        <v>226</v>
      </c>
      <c r="O40" t="s">
        <v>150</v>
      </c>
      <c r="Q40" s="7" t="s">
        <v>135</v>
      </c>
      <c r="R40" s="6">
        <v>4.0000000000000003E-5</v>
      </c>
      <c r="S40" s="7">
        <v>2</v>
      </c>
      <c r="T40" s="6">
        <v>0</v>
      </c>
      <c r="U40" s="7"/>
      <c r="V40" s="6">
        <v>0</v>
      </c>
      <c r="W40" s="7"/>
      <c r="X40" s="6">
        <v>0</v>
      </c>
      <c r="Y40" s="7"/>
      <c r="Z40" s="6">
        <v>0</v>
      </c>
      <c r="AA40" s="7"/>
      <c r="AB40" s="6">
        <v>0</v>
      </c>
      <c r="AC40" s="7"/>
      <c r="AD40" s="28">
        <v>0</v>
      </c>
      <c r="AE40" s="6">
        <v>0</v>
      </c>
      <c r="AF40" s="7"/>
      <c r="AG40" s="6">
        <v>0</v>
      </c>
      <c r="AH40" s="7"/>
    </row>
    <row r="41" spans="1:34">
      <c r="A41" s="2" t="s">
        <v>159</v>
      </c>
      <c r="B41" s="2" t="s">
        <v>86</v>
      </c>
      <c r="C41" s="2" t="s">
        <v>131</v>
      </c>
      <c r="D41" s="101">
        <f>D19</f>
        <v>1.2854030501089325E-2</v>
      </c>
      <c r="E41" s="105" t="s">
        <v>107</v>
      </c>
      <c r="F41" t="s">
        <v>160</v>
      </c>
      <c r="M41" s="6" t="s">
        <v>227</v>
      </c>
      <c r="N41" t="s">
        <v>228</v>
      </c>
      <c r="O41" t="s">
        <v>150</v>
      </c>
      <c r="Q41" s="7"/>
      <c r="R41" s="6" t="s">
        <v>229</v>
      </c>
      <c r="S41" s="7">
        <v>16</v>
      </c>
      <c r="T41" s="6">
        <v>0</v>
      </c>
      <c r="U41" s="7"/>
      <c r="V41" s="6">
        <v>0</v>
      </c>
      <c r="W41" s="7"/>
      <c r="X41" s="6">
        <v>0</v>
      </c>
      <c r="Y41" s="7"/>
      <c r="Z41" s="6">
        <v>0</v>
      </c>
      <c r="AA41" s="7"/>
      <c r="AB41" s="6">
        <v>0</v>
      </c>
      <c r="AC41" s="7"/>
      <c r="AD41" s="28">
        <v>0</v>
      </c>
      <c r="AE41" s="6">
        <v>0</v>
      </c>
      <c r="AF41" s="7"/>
      <c r="AG41" s="6">
        <v>0</v>
      </c>
      <c r="AH41" s="7"/>
    </row>
    <row r="42" spans="1:34">
      <c r="A42" s="2" t="s">
        <v>159</v>
      </c>
      <c r="B42" s="2" t="s">
        <v>86</v>
      </c>
      <c r="C42" s="2" t="s">
        <v>135</v>
      </c>
      <c r="D42" s="101">
        <f>D20</f>
        <v>2.9844510102366669E-3</v>
      </c>
      <c r="E42" t="s">
        <v>469</v>
      </c>
      <c r="F42" t="s">
        <v>160</v>
      </c>
      <c r="M42" s="6" t="s">
        <v>230</v>
      </c>
      <c r="N42" t="s">
        <v>231</v>
      </c>
      <c r="O42" t="s">
        <v>150</v>
      </c>
      <c r="Q42" s="7" t="s">
        <v>135</v>
      </c>
      <c r="R42" s="6">
        <v>2.4000000000000001E-4</v>
      </c>
      <c r="S42" s="7">
        <v>2</v>
      </c>
      <c r="T42" s="6">
        <v>0</v>
      </c>
      <c r="U42" s="7"/>
      <c r="V42" s="6">
        <v>6.0999999999999999E-2</v>
      </c>
      <c r="W42" s="7">
        <v>7</v>
      </c>
      <c r="X42" s="6">
        <v>7.4999999999999997E-2</v>
      </c>
      <c r="Y42" s="7">
        <v>10</v>
      </c>
      <c r="Z42" s="6">
        <v>2.7999999999999998E-4</v>
      </c>
      <c r="AA42" s="7">
        <v>18</v>
      </c>
      <c r="AB42" s="6">
        <v>7.1000000000000002E-4</v>
      </c>
      <c r="AC42" s="7">
        <v>17</v>
      </c>
      <c r="AD42" s="28">
        <v>0.71211498149504038</v>
      </c>
      <c r="AE42" s="6">
        <v>7.8899999999999993E-5</v>
      </c>
      <c r="AF42" s="7">
        <v>12</v>
      </c>
      <c r="AG42" s="6">
        <v>1.1800000000000001E-3</v>
      </c>
      <c r="AH42" s="7">
        <v>14</v>
      </c>
    </row>
    <row r="43" spans="1:34">
      <c r="A43" s="2" t="s">
        <v>159</v>
      </c>
      <c r="B43" s="2" t="s">
        <v>86</v>
      </c>
      <c r="C43" s="2" t="s">
        <v>146</v>
      </c>
      <c r="D43" s="101">
        <f>D21</f>
        <v>4.357298474945534E-2</v>
      </c>
      <c r="E43" t="s">
        <v>469</v>
      </c>
      <c r="F43" t="s">
        <v>160</v>
      </c>
      <c r="M43" s="6" t="s">
        <v>232</v>
      </c>
      <c r="N43" t="s">
        <v>233</v>
      </c>
      <c r="Q43" s="7" t="s">
        <v>135</v>
      </c>
      <c r="R43" s="6">
        <v>1.09E-9</v>
      </c>
      <c r="S43" s="7">
        <v>15</v>
      </c>
      <c r="T43" s="6">
        <v>0</v>
      </c>
      <c r="U43" s="7"/>
      <c r="V43" s="6">
        <v>0</v>
      </c>
      <c r="W43" s="7"/>
      <c r="X43" s="6">
        <v>0</v>
      </c>
      <c r="Y43" s="7"/>
      <c r="Z43" s="6">
        <v>0</v>
      </c>
      <c r="AA43" s="7"/>
      <c r="AB43" s="6">
        <v>0</v>
      </c>
      <c r="AC43" s="7"/>
      <c r="AD43" s="28">
        <v>0</v>
      </c>
      <c r="AE43" s="6">
        <v>0</v>
      </c>
      <c r="AF43" s="7"/>
      <c r="AG43" s="6">
        <v>0</v>
      </c>
      <c r="AH43" s="7"/>
    </row>
    <row r="44" spans="1:34">
      <c r="A44" s="2" t="s">
        <v>159</v>
      </c>
      <c r="B44" s="2" t="s">
        <v>86</v>
      </c>
      <c r="C44" s="2" t="s">
        <v>120</v>
      </c>
      <c r="D44" s="2"/>
      <c r="M44" s="6" t="s">
        <v>234</v>
      </c>
      <c r="N44" t="s">
        <v>235</v>
      </c>
      <c r="O44" t="s">
        <v>150</v>
      </c>
      <c r="Q44" s="7" t="s">
        <v>135</v>
      </c>
      <c r="R44" s="6">
        <v>6.7000000000000002E-5</v>
      </c>
      <c r="S44" s="7">
        <v>2</v>
      </c>
      <c r="T44" s="6">
        <v>0</v>
      </c>
      <c r="U44" s="7"/>
      <c r="V44" s="6">
        <v>0</v>
      </c>
      <c r="W44" s="7"/>
      <c r="X44" s="6">
        <v>1.8</v>
      </c>
      <c r="Y44" s="7">
        <v>10</v>
      </c>
      <c r="Z44" s="6">
        <v>0</v>
      </c>
      <c r="AA44" s="7"/>
      <c r="AB44" s="6">
        <v>0</v>
      </c>
      <c r="AC44" s="7"/>
      <c r="AD44" s="28">
        <v>0</v>
      </c>
      <c r="AE44" s="6">
        <v>0</v>
      </c>
      <c r="AF44" s="7"/>
      <c r="AG44" s="6">
        <v>0</v>
      </c>
      <c r="AH44" s="7"/>
    </row>
    <row r="45" spans="1:34">
      <c r="A45" s="18" t="s">
        <v>159</v>
      </c>
      <c r="B45" s="18" t="s">
        <v>86</v>
      </c>
      <c r="C45" s="18" t="s">
        <v>155</v>
      </c>
      <c r="D45" s="18"/>
      <c r="E45" s="9"/>
      <c r="F45" s="9"/>
      <c r="G45" s="9"/>
      <c r="H45" s="9"/>
      <c r="M45" s="6" t="s">
        <v>236</v>
      </c>
      <c r="N45" t="s">
        <v>237</v>
      </c>
      <c r="O45" t="s">
        <v>150</v>
      </c>
      <c r="Q45" s="7"/>
      <c r="R45" s="6" t="s">
        <v>229</v>
      </c>
      <c r="S45" s="7">
        <v>5</v>
      </c>
      <c r="T45" s="6">
        <v>0</v>
      </c>
      <c r="U45" s="7"/>
      <c r="V45" s="6">
        <v>4.5999999999999999E-2</v>
      </c>
      <c r="W45" s="7">
        <v>23</v>
      </c>
      <c r="X45" s="6">
        <v>0</v>
      </c>
      <c r="Y45" s="7"/>
      <c r="Z45" s="6">
        <v>4.5999999999999999E-2</v>
      </c>
      <c r="AA45" s="7">
        <v>23</v>
      </c>
      <c r="AB45" s="6">
        <v>0</v>
      </c>
      <c r="AC45" s="7">
        <v>23</v>
      </c>
      <c r="AD45" s="28">
        <v>0</v>
      </c>
      <c r="AE45" s="6">
        <v>4.5999999999999999E-2</v>
      </c>
      <c r="AF45" s="7">
        <v>23</v>
      </c>
      <c r="AG45" s="6">
        <v>4.5999999999999999E-2</v>
      </c>
      <c r="AH45" s="7">
        <v>23</v>
      </c>
    </row>
    <row r="46" spans="1:34">
      <c r="A46" s="2" t="s">
        <v>238</v>
      </c>
      <c r="B46" s="2" t="s">
        <v>88</v>
      </c>
      <c r="C46" s="2" t="s">
        <v>103</v>
      </c>
      <c r="D46" s="2" t="s">
        <v>10</v>
      </c>
      <c r="F46" t="s">
        <v>104</v>
      </c>
      <c r="M46" s="6" t="s">
        <v>239</v>
      </c>
      <c r="N46" t="s">
        <v>237</v>
      </c>
      <c r="O46" t="s">
        <v>150</v>
      </c>
      <c r="Q46" s="7"/>
      <c r="R46" s="6" t="s">
        <v>229</v>
      </c>
      <c r="S46" s="7">
        <v>5</v>
      </c>
      <c r="T46" s="6">
        <v>0</v>
      </c>
      <c r="U46" s="7"/>
      <c r="V46" s="6">
        <v>3.5999999999999999E-3</v>
      </c>
      <c r="W46" s="7">
        <v>23</v>
      </c>
      <c r="X46" s="6">
        <v>0</v>
      </c>
      <c r="Y46" s="7"/>
      <c r="Z46" s="6">
        <v>3.5999999999999999E-3</v>
      </c>
      <c r="AA46" s="7">
        <v>23</v>
      </c>
      <c r="AB46" s="6">
        <v>0</v>
      </c>
      <c r="AC46" s="7">
        <v>23</v>
      </c>
      <c r="AD46" s="28">
        <v>0</v>
      </c>
      <c r="AE46" s="6">
        <v>3.5999999999999999E-3</v>
      </c>
      <c r="AF46" s="7">
        <v>23</v>
      </c>
      <c r="AG46" s="6">
        <v>3.5999999999999999E-3</v>
      </c>
      <c r="AH46" s="7">
        <v>23</v>
      </c>
    </row>
    <row r="47" spans="1:34">
      <c r="A47" s="2" t="s">
        <v>238</v>
      </c>
      <c r="B47" s="2" t="s">
        <v>88</v>
      </c>
      <c r="C47" s="2" t="s">
        <v>106</v>
      </c>
      <c r="D47" s="2">
        <v>0.28000000000000003</v>
      </c>
      <c r="E47" t="s">
        <v>107</v>
      </c>
      <c r="F47" t="s">
        <v>108</v>
      </c>
      <c r="M47" s="6" t="s">
        <v>240</v>
      </c>
      <c r="N47" t="s">
        <v>241</v>
      </c>
      <c r="O47" t="s">
        <v>150</v>
      </c>
      <c r="Q47" s="7"/>
      <c r="R47" s="6" t="s">
        <v>229</v>
      </c>
      <c r="S47" s="7">
        <v>5</v>
      </c>
      <c r="T47" s="6">
        <v>0</v>
      </c>
      <c r="U47" s="7"/>
      <c r="V47" s="6">
        <v>0</v>
      </c>
      <c r="W47" s="7"/>
      <c r="X47" s="6">
        <v>0</v>
      </c>
      <c r="Y47" s="7"/>
      <c r="Z47" s="6">
        <v>0</v>
      </c>
      <c r="AA47" s="7"/>
      <c r="AB47" s="6">
        <v>0</v>
      </c>
      <c r="AC47" s="7"/>
      <c r="AD47" s="28">
        <v>0</v>
      </c>
      <c r="AE47" s="6">
        <v>0</v>
      </c>
      <c r="AF47" s="7"/>
      <c r="AG47" s="6">
        <v>0</v>
      </c>
      <c r="AH47" s="7"/>
    </row>
    <row r="48" spans="1:34">
      <c r="A48" s="2" t="s">
        <v>238</v>
      </c>
      <c r="B48" s="2" t="s">
        <v>88</v>
      </c>
      <c r="C48" s="2" t="s">
        <v>109</v>
      </c>
      <c r="D48" s="2"/>
      <c r="M48" s="6" t="s">
        <v>242</v>
      </c>
      <c r="N48" t="s">
        <v>243</v>
      </c>
      <c r="O48" t="s">
        <v>150</v>
      </c>
      <c r="Q48" s="7" t="s">
        <v>135</v>
      </c>
      <c r="R48" s="6">
        <v>5.8E-4</v>
      </c>
      <c r="S48" s="7">
        <v>2</v>
      </c>
      <c r="T48" s="6">
        <v>0</v>
      </c>
      <c r="U48" s="7"/>
      <c r="V48" s="6">
        <v>0</v>
      </c>
      <c r="W48" s="7"/>
      <c r="X48" s="6">
        <v>0</v>
      </c>
      <c r="Y48" s="7"/>
      <c r="Z48" s="6">
        <v>0</v>
      </c>
      <c r="AA48" s="7"/>
      <c r="AB48" s="6">
        <v>0</v>
      </c>
      <c r="AC48" s="7"/>
      <c r="AD48" s="28">
        <v>0</v>
      </c>
      <c r="AE48" s="6">
        <v>0</v>
      </c>
      <c r="AF48" s="7"/>
      <c r="AG48" s="6">
        <v>0</v>
      </c>
      <c r="AH48" s="7"/>
    </row>
    <row r="49" spans="1:34">
      <c r="A49" s="2" t="s">
        <v>238</v>
      </c>
      <c r="B49" s="2" t="s">
        <v>88</v>
      </c>
      <c r="C49" s="2" t="s">
        <v>117</v>
      </c>
      <c r="D49" s="2">
        <v>0.28000000000000003</v>
      </c>
      <c r="E49" t="s">
        <v>107</v>
      </c>
      <c r="F49" t="s">
        <v>108</v>
      </c>
      <c r="M49" s="6" t="s">
        <v>244</v>
      </c>
      <c r="N49" t="s">
        <v>245</v>
      </c>
      <c r="O49" t="s">
        <v>150</v>
      </c>
      <c r="Q49" s="7"/>
      <c r="R49" s="6">
        <v>4.2000000000000002E-4</v>
      </c>
      <c r="S49" s="7">
        <v>3</v>
      </c>
      <c r="T49" s="6">
        <v>9.0000000000000002E-6</v>
      </c>
      <c r="U49" s="7">
        <v>6</v>
      </c>
      <c r="V49" s="6">
        <v>0</v>
      </c>
      <c r="W49" s="7"/>
      <c r="X49" s="6">
        <v>5.0000000000000001E-4</v>
      </c>
      <c r="Y49" s="7">
        <v>9</v>
      </c>
      <c r="Z49" s="6">
        <v>1.4E-5</v>
      </c>
      <c r="AA49" s="7">
        <v>19</v>
      </c>
      <c r="AB49" s="6">
        <v>0</v>
      </c>
      <c r="AC49" s="7"/>
      <c r="AD49" s="28">
        <v>0</v>
      </c>
      <c r="AE49" s="6">
        <v>0</v>
      </c>
      <c r="AF49" s="7"/>
      <c r="AG49" s="6">
        <v>0</v>
      </c>
      <c r="AH49" s="7"/>
    </row>
    <row r="50" spans="1:34">
      <c r="A50" s="2" t="s">
        <v>238</v>
      </c>
      <c r="B50" s="2" t="s">
        <v>88</v>
      </c>
      <c r="C50" s="2" t="s">
        <v>123</v>
      </c>
      <c r="D50" s="2" t="s">
        <v>10</v>
      </c>
      <c r="F50" t="s">
        <v>104</v>
      </c>
      <c r="M50" s="6" t="s">
        <v>246</v>
      </c>
      <c r="N50" t="s">
        <v>247</v>
      </c>
      <c r="O50" t="s">
        <v>150</v>
      </c>
      <c r="Q50" s="7"/>
      <c r="R50" s="6">
        <v>4.8999999999999998E-4</v>
      </c>
      <c r="S50" s="7">
        <v>3</v>
      </c>
      <c r="T50" s="6">
        <v>6.0000000000000002E-6</v>
      </c>
      <c r="U50" s="7">
        <v>6</v>
      </c>
      <c r="V50" s="6">
        <v>0</v>
      </c>
      <c r="W50" s="7"/>
      <c r="X50" s="6">
        <v>3.8000000000000002E-4</v>
      </c>
      <c r="Y50" s="7">
        <v>11</v>
      </c>
      <c r="Z50" s="6">
        <v>7.9000000000000001E-4</v>
      </c>
      <c r="AA50" s="7">
        <v>19</v>
      </c>
      <c r="AB50" s="6">
        <v>0</v>
      </c>
      <c r="AC50" s="7"/>
      <c r="AD50" s="28">
        <v>0</v>
      </c>
      <c r="AE50" s="6">
        <v>0</v>
      </c>
      <c r="AF50" s="7"/>
      <c r="AG50" s="6">
        <v>0</v>
      </c>
      <c r="AH50" s="7"/>
    </row>
    <row r="51" spans="1:34">
      <c r="A51" s="2" t="s">
        <v>238</v>
      </c>
      <c r="B51" s="2" t="s">
        <v>88</v>
      </c>
      <c r="C51" s="2" t="s">
        <v>129</v>
      </c>
      <c r="D51" s="2">
        <v>2</v>
      </c>
      <c r="F51" t="s">
        <v>248</v>
      </c>
      <c r="G51" s="2">
        <v>1.6363636363636363E-3</v>
      </c>
      <c r="H51" t="s">
        <v>107</v>
      </c>
      <c r="M51" s="6" t="s">
        <v>249</v>
      </c>
      <c r="N51" t="s">
        <v>250</v>
      </c>
      <c r="O51" t="s">
        <v>150</v>
      </c>
      <c r="Q51" s="7"/>
      <c r="R51" s="6" t="s">
        <v>229</v>
      </c>
      <c r="S51" s="7">
        <v>5</v>
      </c>
      <c r="T51" s="6">
        <v>3.0000000000000001E-6</v>
      </c>
      <c r="U51" s="7">
        <v>6</v>
      </c>
      <c r="V51" s="6">
        <v>0</v>
      </c>
      <c r="W51" s="7"/>
      <c r="X51" s="6">
        <v>2.5999999999999998E-4</v>
      </c>
      <c r="Y51" s="7">
        <v>11</v>
      </c>
      <c r="Z51" s="6">
        <v>1.1999999999999999E-6</v>
      </c>
      <c r="AA51" s="7">
        <v>19</v>
      </c>
      <c r="AB51" s="6">
        <v>0</v>
      </c>
      <c r="AC51" s="7"/>
      <c r="AD51" s="28">
        <v>0</v>
      </c>
      <c r="AE51" s="6">
        <v>0</v>
      </c>
      <c r="AF51" s="7"/>
      <c r="AG51" s="6">
        <v>0</v>
      </c>
      <c r="AH51" s="7"/>
    </row>
    <row r="52" spans="1:34">
      <c r="A52" s="2" t="s">
        <v>238</v>
      </c>
      <c r="B52" s="2" t="s">
        <v>88</v>
      </c>
      <c r="C52" s="2" t="s">
        <v>131</v>
      </c>
      <c r="D52" s="2">
        <v>4.41</v>
      </c>
      <c r="E52" t="s">
        <v>107</v>
      </c>
      <c r="F52" t="s">
        <v>251</v>
      </c>
      <c r="M52" s="6" t="s">
        <v>252</v>
      </c>
      <c r="N52" t="s">
        <v>253</v>
      </c>
      <c r="O52" t="s">
        <v>150</v>
      </c>
      <c r="Q52" s="7" t="s">
        <v>135</v>
      </c>
      <c r="R52" s="6">
        <v>1.6000000000000001E-4</v>
      </c>
      <c r="S52" s="7">
        <v>2</v>
      </c>
      <c r="T52" s="6">
        <v>0</v>
      </c>
      <c r="U52" s="7"/>
      <c r="V52" s="6">
        <v>0</v>
      </c>
      <c r="W52" s="7"/>
      <c r="X52" s="6">
        <v>0</v>
      </c>
      <c r="Y52" s="7"/>
      <c r="Z52" s="6">
        <v>0</v>
      </c>
      <c r="AA52" s="7"/>
      <c r="AB52" s="6">
        <v>0</v>
      </c>
      <c r="AC52" s="7"/>
      <c r="AD52" s="28">
        <v>0</v>
      </c>
      <c r="AE52" s="6">
        <v>0</v>
      </c>
      <c r="AF52" s="7"/>
      <c r="AG52" s="6">
        <v>0</v>
      </c>
      <c r="AH52" s="7"/>
    </row>
    <row r="53" spans="1:34">
      <c r="A53" s="2" t="s">
        <v>238</v>
      </c>
      <c r="B53" s="2" t="s">
        <v>88</v>
      </c>
      <c r="C53" s="2" t="s">
        <v>135</v>
      </c>
      <c r="D53" s="2">
        <v>0.36</v>
      </c>
      <c r="E53" t="s">
        <v>107</v>
      </c>
      <c r="F53" t="s">
        <v>251</v>
      </c>
      <c r="M53" s="6" t="s">
        <v>254</v>
      </c>
      <c r="N53" t="s">
        <v>255</v>
      </c>
      <c r="O53" t="s">
        <v>150</v>
      </c>
      <c r="Q53" s="7" t="s">
        <v>135</v>
      </c>
      <c r="R53" s="6">
        <v>5.2999999999999998E-4</v>
      </c>
      <c r="S53" s="7">
        <v>2</v>
      </c>
      <c r="T53" s="6">
        <v>0</v>
      </c>
      <c r="U53" s="7"/>
      <c r="V53" s="6">
        <v>0</v>
      </c>
      <c r="W53" s="7"/>
      <c r="X53" s="6">
        <v>0</v>
      </c>
      <c r="Y53" s="7"/>
      <c r="Z53" s="6">
        <v>0</v>
      </c>
      <c r="AA53" s="7"/>
      <c r="AB53" s="6">
        <v>0</v>
      </c>
      <c r="AC53" s="7"/>
      <c r="AD53" s="28">
        <v>0</v>
      </c>
      <c r="AE53" s="6">
        <v>0</v>
      </c>
      <c r="AF53" s="7"/>
      <c r="AG53" s="6">
        <v>0</v>
      </c>
      <c r="AH53" s="7"/>
    </row>
    <row r="54" spans="1:34">
      <c r="A54" s="18" t="s">
        <v>238</v>
      </c>
      <c r="B54" s="18" t="s">
        <v>88</v>
      </c>
      <c r="C54" s="18" t="s">
        <v>146</v>
      </c>
      <c r="D54" s="18">
        <v>0.95</v>
      </c>
      <c r="E54" s="9" t="s">
        <v>107</v>
      </c>
      <c r="F54" s="9" t="s">
        <v>251</v>
      </c>
      <c r="G54" s="9"/>
      <c r="H54" s="9"/>
      <c r="M54" s="6" t="s">
        <v>256</v>
      </c>
      <c r="N54" t="s">
        <v>257</v>
      </c>
      <c r="O54" t="s">
        <v>150</v>
      </c>
      <c r="Q54" s="7" t="s">
        <v>135</v>
      </c>
      <c r="R54" s="6">
        <v>1.7000000000000001E-4</v>
      </c>
      <c r="S54" s="7">
        <v>2</v>
      </c>
      <c r="T54" s="6">
        <v>0</v>
      </c>
      <c r="U54" s="7"/>
      <c r="V54" s="6">
        <v>0</v>
      </c>
      <c r="W54" s="7"/>
      <c r="X54" s="6">
        <v>0</v>
      </c>
      <c r="Y54" s="7"/>
      <c r="Z54" s="6">
        <v>0</v>
      </c>
      <c r="AA54" s="7"/>
      <c r="AB54" s="6">
        <v>0</v>
      </c>
      <c r="AC54" s="7"/>
      <c r="AD54" s="28">
        <v>0</v>
      </c>
      <c r="AE54" s="6">
        <v>0</v>
      </c>
      <c r="AF54" s="7"/>
      <c r="AG54" s="6">
        <v>0</v>
      </c>
      <c r="AH54" s="7"/>
    </row>
    <row r="55" spans="1:34">
      <c r="A55" s="2" t="s">
        <v>238</v>
      </c>
      <c r="B55" s="2" t="s">
        <v>92</v>
      </c>
      <c r="C55" s="2" t="s">
        <v>103</v>
      </c>
      <c r="D55" s="2" t="s">
        <v>10</v>
      </c>
      <c r="F55" t="s">
        <v>104</v>
      </c>
      <c r="M55" s="6" t="s">
        <v>258</v>
      </c>
      <c r="N55" t="s">
        <v>259</v>
      </c>
      <c r="O55" t="s">
        <v>150</v>
      </c>
      <c r="Q55" s="7" t="s">
        <v>135</v>
      </c>
      <c r="R55" s="6">
        <v>2.0000000000000002E-5</v>
      </c>
      <c r="S55" s="7">
        <v>2</v>
      </c>
      <c r="T55" s="6">
        <v>0</v>
      </c>
      <c r="U55" s="7"/>
      <c r="V55" s="6">
        <v>0</v>
      </c>
      <c r="W55" s="7"/>
      <c r="X55" s="6">
        <v>0</v>
      </c>
      <c r="Y55" s="7"/>
      <c r="Z55" s="6">
        <v>0</v>
      </c>
      <c r="AA55" s="7"/>
      <c r="AB55" s="6">
        <v>0</v>
      </c>
      <c r="AC55" s="7"/>
      <c r="AD55" s="28">
        <v>0</v>
      </c>
      <c r="AE55" s="6">
        <v>0</v>
      </c>
      <c r="AF55" s="7"/>
      <c r="AG55" s="6">
        <v>0</v>
      </c>
      <c r="AH55" s="7"/>
    </row>
    <row r="56" spans="1:34">
      <c r="A56" s="2" t="s">
        <v>238</v>
      </c>
      <c r="B56" s="2" t="s">
        <v>92</v>
      </c>
      <c r="C56" s="2" t="s">
        <v>106</v>
      </c>
      <c r="D56" s="2">
        <v>0.28000000000000003</v>
      </c>
      <c r="E56" t="s">
        <v>107</v>
      </c>
      <c r="F56" t="s">
        <v>108</v>
      </c>
      <c r="M56" s="6" t="s">
        <v>260</v>
      </c>
      <c r="N56" t="s">
        <v>261</v>
      </c>
      <c r="O56" t="s">
        <v>150</v>
      </c>
      <c r="Q56" s="7" t="s">
        <v>135</v>
      </c>
      <c r="R56" s="6">
        <v>3.4999999999999997E-5</v>
      </c>
      <c r="S56" s="7">
        <v>2</v>
      </c>
      <c r="T56" s="6">
        <v>0</v>
      </c>
      <c r="U56" s="7"/>
      <c r="V56" s="6">
        <v>0</v>
      </c>
      <c r="W56" s="7"/>
      <c r="X56" s="6">
        <v>0</v>
      </c>
      <c r="Y56" s="7"/>
      <c r="Z56" s="6">
        <v>0</v>
      </c>
      <c r="AA56" s="7"/>
      <c r="AB56" s="6">
        <v>0</v>
      </c>
      <c r="AC56" s="7"/>
      <c r="AD56" s="28">
        <v>0</v>
      </c>
      <c r="AE56" s="6">
        <v>0</v>
      </c>
      <c r="AF56" s="7"/>
      <c r="AG56" s="6">
        <v>0</v>
      </c>
      <c r="AH56" s="7"/>
    </row>
    <row r="57" spans="1:34">
      <c r="A57" s="2" t="s">
        <v>238</v>
      </c>
      <c r="B57" s="2" t="s">
        <v>92</v>
      </c>
      <c r="C57" s="2" t="s">
        <v>109</v>
      </c>
      <c r="D57" s="2"/>
      <c r="M57" s="6" t="s">
        <v>262</v>
      </c>
      <c r="N57" t="s">
        <v>263</v>
      </c>
      <c r="O57" t="s">
        <v>150</v>
      </c>
      <c r="Q57" s="7" t="s">
        <v>135</v>
      </c>
      <c r="R57" s="6">
        <v>2.9E-4</v>
      </c>
      <c r="S57" s="7">
        <v>2</v>
      </c>
      <c r="T57" s="6">
        <v>0</v>
      </c>
      <c r="U57" s="7"/>
      <c r="V57" s="6">
        <v>0</v>
      </c>
      <c r="W57" s="7"/>
      <c r="X57" s="6">
        <v>0</v>
      </c>
      <c r="Y57" s="7"/>
      <c r="Z57" s="6">
        <v>0</v>
      </c>
      <c r="AA57" s="7"/>
      <c r="AB57" s="6">
        <v>0</v>
      </c>
      <c r="AC57" s="7"/>
      <c r="AD57" s="28">
        <v>0</v>
      </c>
      <c r="AE57" s="6">
        <v>0</v>
      </c>
      <c r="AF57" s="7"/>
      <c r="AG57" s="6">
        <v>0</v>
      </c>
      <c r="AH57" s="7"/>
    </row>
    <row r="58" spans="1:34">
      <c r="A58" s="2" t="s">
        <v>238</v>
      </c>
      <c r="B58" s="2" t="s">
        <v>92</v>
      </c>
      <c r="C58" s="2" t="s">
        <v>117</v>
      </c>
      <c r="D58" s="2">
        <v>0.28000000000000003</v>
      </c>
      <c r="E58" t="s">
        <v>107</v>
      </c>
      <c r="F58" t="s">
        <v>108</v>
      </c>
      <c r="M58" s="6" t="s">
        <v>264</v>
      </c>
      <c r="N58" t="s">
        <v>265</v>
      </c>
      <c r="O58" t="s">
        <v>150</v>
      </c>
      <c r="Q58" s="7" t="s">
        <v>135</v>
      </c>
      <c r="R58" s="6">
        <v>1.2999999999999999E-5</v>
      </c>
      <c r="S58" s="7">
        <v>1</v>
      </c>
      <c r="T58" s="6">
        <v>0</v>
      </c>
      <c r="U58" s="7"/>
      <c r="V58" s="6">
        <v>3.3300000000000002E-4</v>
      </c>
      <c r="W58" s="7">
        <v>8</v>
      </c>
      <c r="X58" s="6">
        <v>6.0999999999999997E-4</v>
      </c>
      <c r="Y58" s="7">
        <v>10</v>
      </c>
      <c r="Z58" s="6">
        <v>3.4999999999999997E-5</v>
      </c>
      <c r="AA58" s="7">
        <v>18</v>
      </c>
      <c r="AB58" s="6">
        <v>1.3E-6</v>
      </c>
      <c r="AC58" s="7">
        <v>17</v>
      </c>
      <c r="AD58" s="28">
        <v>1.3038725013289471E-3</v>
      </c>
      <c r="AE58" s="6">
        <v>1.2999999999999999E-4</v>
      </c>
      <c r="AF58" s="7">
        <v>13</v>
      </c>
      <c r="AG58" s="6">
        <v>8.4800000000000001E-5</v>
      </c>
      <c r="AH58" s="7">
        <v>14</v>
      </c>
    </row>
    <row r="59" spans="1:34">
      <c r="A59" s="2" t="s">
        <v>238</v>
      </c>
      <c r="B59" s="2" t="s">
        <v>92</v>
      </c>
      <c r="C59" s="2" t="s">
        <v>123</v>
      </c>
      <c r="D59" s="2" t="s">
        <v>10</v>
      </c>
      <c r="F59" t="s">
        <v>104</v>
      </c>
      <c r="M59" s="6" t="s">
        <v>266</v>
      </c>
      <c r="N59" t="s">
        <v>267</v>
      </c>
      <c r="O59" t="s">
        <v>150</v>
      </c>
      <c r="Q59" s="7"/>
      <c r="R59" s="6">
        <v>2.7999999999999998E-4</v>
      </c>
      <c r="S59" s="7">
        <v>3</v>
      </c>
      <c r="T59" s="6">
        <v>3.0000000000000001E-6</v>
      </c>
      <c r="U59" s="7">
        <v>6</v>
      </c>
      <c r="V59" s="6">
        <v>0</v>
      </c>
      <c r="W59" s="7"/>
      <c r="X59" s="6">
        <v>2.0999999999999999E-3</v>
      </c>
      <c r="Y59" s="7">
        <v>11</v>
      </c>
      <c r="Z59" s="6">
        <v>4.6E-6</v>
      </c>
      <c r="AA59" s="7">
        <v>19</v>
      </c>
      <c r="AB59" s="6">
        <v>0</v>
      </c>
      <c r="AC59" s="7"/>
      <c r="AD59" s="28">
        <v>0</v>
      </c>
      <c r="AE59" s="6">
        <v>0</v>
      </c>
      <c r="AF59" s="7"/>
      <c r="AG59" s="6">
        <v>0</v>
      </c>
      <c r="AH59" s="7"/>
    </row>
    <row r="60" spans="1:34">
      <c r="A60" s="2" t="s">
        <v>238</v>
      </c>
      <c r="B60" s="2" t="s">
        <v>92</v>
      </c>
      <c r="C60" s="2" t="s">
        <v>129</v>
      </c>
      <c r="D60" s="2">
        <v>2</v>
      </c>
      <c r="F60" t="s">
        <v>248</v>
      </c>
      <c r="G60" s="2">
        <v>1.6363636363636363E-3</v>
      </c>
      <c r="H60" t="s">
        <v>107</v>
      </c>
      <c r="M60" s="6" t="s">
        <v>268</v>
      </c>
      <c r="N60" t="s">
        <v>269</v>
      </c>
      <c r="O60" t="s">
        <v>150</v>
      </c>
      <c r="Q60" s="7" t="s">
        <v>135</v>
      </c>
      <c r="R60" s="6">
        <v>1.5999999999999999E-5</v>
      </c>
      <c r="S60" s="7">
        <v>2</v>
      </c>
      <c r="T60" s="6">
        <v>0</v>
      </c>
      <c r="U60" s="7"/>
      <c r="V60" s="6">
        <v>0</v>
      </c>
      <c r="W60" s="7"/>
      <c r="X60" s="6">
        <v>0</v>
      </c>
      <c r="Y60" s="7"/>
      <c r="Z60" s="6">
        <v>0</v>
      </c>
      <c r="AA60" s="7"/>
      <c r="AB60" s="6">
        <v>0</v>
      </c>
      <c r="AC60" s="7"/>
      <c r="AD60" s="28">
        <v>0</v>
      </c>
      <c r="AE60" s="6">
        <v>0</v>
      </c>
      <c r="AF60" s="7"/>
      <c r="AG60" s="6">
        <v>0</v>
      </c>
      <c r="AH60" s="7"/>
    </row>
    <row r="61" spans="1:34">
      <c r="A61" s="2" t="s">
        <v>238</v>
      </c>
      <c r="B61" s="2" t="s">
        <v>92</v>
      </c>
      <c r="C61" s="2" t="s">
        <v>131</v>
      </c>
      <c r="D61" s="2">
        <v>4.41</v>
      </c>
      <c r="E61" t="s">
        <v>107</v>
      </c>
      <c r="F61" t="s">
        <v>251</v>
      </c>
      <c r="M61" s="6" t="s">
        <v>270</v>
      </c>
      <c r="O61" t="s">
        <v>150</v>
      </c>
      <c r="Q61" s="7" t="s">
        <v>135</v>
      </c>
      <c r="R61" s="6">
        <v>6.0599999999999996E-6</v>
      </c>
      <c r="S61" s="7">
        <v>1</v>
      </c>
      <c r="T61" s="6">
        <v>0</v>
      </c>
      <c r="U61" s="7"/>
      <c r="V61" s="6">
        <v>3.3E-3</v>
      </c>
      <c r="W61" s="7">
        <v>7</v>
      </c>
      <c r="X61" s="6">
        <v>8.8200000000000003E-5</v>
      </c>
      <c r="Y61" s="7">
        <v>10</v>
      </c>
      <c r="Z61" s="6">
        <v>5.0000000000000004E-6</v>
      </c>
      <c r="AA61" s="7">
        <v>18</v>
      </c>
      <c r="AB61" s="6">
        <v>8.9999999999999996E-7</v>
      </c>
      <c r="AC61" s="7">
        <v>17</v>
      </c>
      <c r="AD61" s="28">
        <v>9.0268096245850178E-4</v>
      </c>
      <c r="AE61" s="6">
        <v>8.2000000000000001E-5</v>
      </c>
      <c r="AF61" s="7">
        <v>13</v>
      </c>
      <c r="AG61" s="6">
        <v>8.3200000000000003E-5</v>
      </c>
      <c r="AH61" s="7">
        <v>14</v>
      </c>
    </row>
    <row r="62" spans="1:34">
      <c r="A62" s="2" t="s">
        <v>238</v>
      </c>
      <c r="B62" s="2" t="s">
        <v>92</v>
      </c>
      <c r="C62" s="2" t="s">
        <v>135</v>
      </c>
      <c r="D62" s="2">
        <v>0.36</v>
      </c>
      <c r="E62" t="s">
        <v>107</v>
      </c>
      <c r="F62" t="s">
        <v>251</v>
      </c>
      <c r="M62" s="6" t="s">
        <v>271</v>
      </c>
      <c r="N62" t="s">
        <v>272</v>
      </c>
      <c r="O62" t="s">
        <v>150</v>
      </c>
      <c r="Q62" s="7" t="s">
        <v>135</v>
      </c>
      <c r="R62" s="6">
        <v>3.8000000000000002E-4</v>
      </c>
      <c r="S62" s="7">
        <v>2</v>
      </c>
      <c r="T62" s="6">
        <v>0</v>
      </c>
      <c r="U62" s="7"/>
      <c r="V62" s="6">
        <v>0</v>
      </c>
      <c r="W62" s="7"/>
      <c r="X62" s="6">
        <v>0</v>
      </c>
      <c r="Y62" s="7"/>
      <c r="Z62" s="6">
        <v>0</v>
      </c>
      <c r="AA62" s="7"/>
      <c r="AB62" s="6">
        <v>0</v>
      </c>
      <c r="AC62" s="7"/>
      <c r="AD62" s="28">
        <v>0</v>
      </c>
      <c r="AE62" s="6">
        <v>0</v>
      </c>
      <c r="AF62" s="7"/>
      <c r="AG62" s="6">
        <v>0</v>
      </c>
      <c r="AH62" s="7"/>
    </row>
    <row r="63" spans="1:34">
      <c r="A63" s="2" t="s">
        <v>238</v>
      </c>
      <c r="B63" s="2" t="s">
        <v>92</v>
      </c>
      <c r="C63" s="2" t="s">
        <v>146</v>
      </c>
      <c r="D63" s="2">
        <v>0.95</v>
      </c>
      <c r="E63" t="s">
        <v>107</v>
      </c>
      <c r="F63" t="s">
        <v>251</v>
      </c>
      <c r="M63" s="6" t="s">
        <v>273</v>
      </c>
      <c r="N63" t="s">
        <v>274</v>
      </c>
      <c r="O63" t="s">
        <v>150</v>
      </c>
      <c r="P63" t="s">
        <v>150</v>
      </c>
      <c r="Q63" s="7"/>
      <c r="R63" s="6">
        <v>0</v>
      </c>
      <c r="S63" s="7"/>
      <c r="T63" s="6">
        <v>0</v>
      </c>
      <c r="U63" s="7"/>
      <c r="V63" s="6">
        <v>0</v>
      </c>
      <c r="W63" s="7"/>
      <c r="X63" s="6">
        <v>0</v>
      </c>
      <c r="Y63" s="7"/>
      <c r="Z63" s="6">
        <v>0</v>
      </c>
      <c r="AA63" s="7"/>
      <c r="AB63" s="6">
        <v>2.9E-5</v>
      </c>
      <c r="AC63" s="7">
        <v>17</v>
      </c>
      <c r="AD63" s="28">
        <v>0</v>
      </c>
      <c r="AE63" s="6">
        <v>0</v>
      </c>
      <c r="AF63" s="7"/>
      <c r="AG63" s="6">
        <v>0</v>
      </c>
      <c r="AH63" s="7"/>
    </row>
    <row r="64" spans="1:34">
      <c r="M64" s="6" t="s">
        <v>275</v>
      </c>
      <c r="N64" t="s">
        <v>276</v>
      </c>
      <c r="O64" t="s">
        <v>150</v>
      </c>
      <c r="Q64" s="7"/>
      <c r="R64" s="6">
        <v>1.2999999999999999E-3</v>
      </c>
      <c r="S64" s="7">
        <v>3</v>
      </c>
      <c r="T64" s="6">
        <v>1.5E-5</v>
      </c>
      <c r="U64" s="7">
        <v>6</v>
      </c>
      <c r="V64" s="6">
        <v>0</v>
      </c>
      <c r="W64" s="7"/>
      <c r="X64" s="6">
        <v>2.4000000000000001E-5</v>
      </c>
      <c r="Y64" s="7">
        <v>11</v>
      </c>
      <c r="Z64" s="6">
        <v>2.5000000000000001E-5</v>
      </c>
      <c r="AA64" s="7">
        <v>19</v>
      </c>
      <c r="AB64" s="6">
        <v>0</v>
      </c>
      <c r="AC64" s="7"/>
      <c r="AD64" s="28">
        <v>0</v>
      </c>
      <c r="AE64" s="6">
        <v>0</v>
      </c>
      <c r="AF64" s="7"/>
      <c r="AG64" s="6">
        <v>0</v>
      </c>
      <c r="AH64" s="7"/>
    </row>
    <row r="65" spans="13:34">
      <c r="M65" s="6" t="s">
        <v>277</v>
      </c>
      <c r="N65" t="s">
        <v>278</v>
      </c>
      <c r="O65" t="s">
        <v>150</v>
      </c>
      <c r="Q65" s="7" t="s">
        <v>135</v>
      </c>
      <c r="R65" s="6">
        <v>2.5000000000000001E-5</v>
      </c>
      <c r="S65" s="7">
        <v>2</v>
      </c>
      <c r="T65" s="6">
        <v>0</v>
      </c>
      <c r="U65" s="7"/>
      <c r="V65" s="6">
        <v>0</v>
      </c>
      <c r="W65" s="7"/>
      <c r="X65" s="6">
        <v>0</v>
      </c>
      <c r="Y65" s="7"/>
      <c r="Z65" s="6">
        <v>0</v>
      </c>
      <c r="AA65" s="7"/>
      <c r="AB65" s="6">
        <v>0</v>
      </c>
      <c r="AC65" s="7"/>
      <c r="AD65" s="28">
        <v>0</v>
      </c>
      <c r="AE65" s="6">
        <v>0</v>
      </c>
      <c r="AF65" s="7"/>
      <c r="AG65" s="6">
        <v>0</v>
      </c>
      <c r="AH65" s="7"/>
    </row>
    <row r="66" spans="13:34">
      <c r="M66" s="6" t="s">
        <v>279</v>
      </c>
      <c r="N66" t="s">
        <v>280</v>
      </c>
      <c r="O66" t="s">
        <v>150</v>
      </c>
      <c r="Q66" s="7" t="s">
        <v>135</v>
      </c>
      <c r="R66" s="6">
        <v>4.3000000000000002E-5</v>
      </c>
      <c r="S66" s="7">
        <v>2</v>
      </c>
      <c r="T66" s="6">
        <v>0</v>
      </c>
      <c r="U66" s="7"/>
      <c r="V66" s="6">
        <v>0</v>
      </c>
      <c r="W66" s="7"/>
      <c r="X66" s="6">
        <v>0</v>
      </c>
      <c r="Y66" s="7"/>
      <c r="Z66" s="6">
        <v>0</v>
      </c>
      <c r="AA66" s="7"/>
      <c r="AB66" s="6">
        <v>0</v>
      </c>
      <c r="AC66" s="7"/>
      <c r="AD66" s="28">
        <v>0</v>
      </c>
      <c r="AE66" s="6">
        <v>0</v>
      </c>
      <c r="AF66" s="7"/>
      <c r="AG66" s="6">
        <v>0</v>
      </c>
      <c r="AH66" s="7"/>
    </row>
    <row r="67" spans="13:34">
      <c r="M67" s="6" t="s">
        <v>281</v>
      </c>
      <c r="N67" t="s">
        <v>282</v>
      </c>
      <c r="O67" t="s">
        <v>150</v>
      </c>
      <c r="Q67" s="7" t="s">
        <v>135</v>
      </c>
      <c r="R67" s="6">
        <v>2.4000000000000001E-4</v>
      </c>
      <c r="S67" s="7">
        <v>2</v>
      </c>
      <c r="T67" s="6">
        <v>0</v>
      </c>
      <c r="U67" s="7"/>
      <c r="V67" s="6">
        <v>0</v>
      </c>
      <c r="W67" s="7"/>
      <c r="X67" s="6">
        <v>3.3999999999999998E-3</v>
      </c>
      <c r="Y67" s="7">
        <v>10</v>
      </c>
      <c r="Z67" s="6">
        <v>0</v>
      </c>
      <c r="AA67" s="7"/>
      <c r="AB67" s="6">
        <v>1.2999999999999999E-4</v>
      </c>
      <c r="AC67" s="7">
        <v>17</v>
      </c>
      <c r="AD67" s="28">
        <v>0.13038725013289471</v>
      </c>
      <c r="AE67" s="6">
        <v>2.81E-4</v>
      </c>
      <c r="AF67" s="7">
        <v>12</v>
      </c>
      <c r="AG67" s="6">
        <v>4.0900000000000002E-4</v>
      </c>
      <c r="AH67" s="7">
        <v>14</v>
      </c>
    </row>
    <row r="68" spans="13:34">
      <c r="M68" s="6" t="s">
        <v>283</v>
      </c>
      <c r="N68" t="s">
        <v>284</v>
      </c>
      <c r="O68" t="s">
        <v>150</v>
      </c>
      <c r="Q68" s="7" t="s">
        <v>135</v>
      </c>
      <c r="R68" s="6">
        <v>7.6000000000000001E-6</v>
      </c>
      <c r="S68" s="7">
        <v>2</v>
      </c>
      <c r="T68" s="6">
        <v>0</v>
      </c>
      <c r="U68" s="7"/>
      <c r="V68" s="6">
        <v>0</v>
      </c>
      <c r="W68" s="7"/>
      <c r="X68" s="6">
        <v>0</v>
      </c>
      <c r="Y68" s="7"/>
      <c r="Z68" s="6">
        <v>0</v>
      </c>
      <c r="AA68" s="7"/>
      <c r="AB68" s="6">
        <v>0</v>
      </c>
      <c r="AC68" s="7"/>
      <c r="AD68" s="28">
        <v>0</v>
      </c>
      <c r="AE68" s="6">
        <v>0</v>
      </c>
      <c r="AF68" s="7"/>
      <c r="AG68" s="6">
        <v>0</v>
      </c>
      <c r="AH68" s="7"/>
    </row>
    <row r="69" spans="13:34">
      <c r="M69" s="8" t="s">
        <v>285</v>
      </c>
      <c r="N69" s="9" t="s">
        <v>286</v>
      </c>
      <c r="O69" s="9" t="s">
        <v>150</v>
      </c>
      <c r="P69" s="9"/>
      <c r="Q69" s="10" t="s">
        <v>135</v>
      </c>
      <c r="R69" s="8">
        <v>3.6999999999999998E-5</v>
      </c>
      <c r="S69" s="10">
        <v>2</v>
      </c>
      <c r="T69" s="8">
        <v>0</v>
      </c>
      <c r="U69" s="10"/>
      <c r="V69" s="8">
        <v>0</v>
      </c>
      <c r="W69" s="10"/>
      <c r="X69" s="8">
        <v>0</v>
      </c>
      <c r="Y69" s="10"/>
      <c r="Z69" s="8">
        <v>0</v>
      </c>
      <c r="AA69" s="10"/>
      <c r="AB69" s="8">
        <v>6.3999999999999997E-5</v>
      </c>
      <c r="AC69" s="10">
        <v>17</v>
      </c>
      <c r="AD69" s="29">
        <v>6.4190646219271244E-2</v>
      </c>
      <c r="AE69" s="8">
        <v>1.93E-4</v>
      </c>
      <c r="AF69" s="10">
        <v>12</v>
      </c>
      <c r="AG69" s="8">
        <v>2.8499999999999999E-4</v>
      </c>
      <c r="AH69" s="10">
        <v>14</v>
      </c>
    </row>
    <row r="70" spans="13:34">
      <c r="AA70" s="21" t="s">
        <v>287</v>
      </c>
      <c r="AB70">
        <v>9.9702999999999988E-4</v>
      </c>
    </row>
    <row r="71" spans="13:34">
      <c r="M71" t="s">
        <v>288</v>
      </c>
      <c r="AA71" s="21" t="s">
        <v>289</v>
      </c>
      <c r="AB71">
        <v>0.47477619047619046</v>
      </c>
    </row>
    <row r="72" spans="13:34">
      <c r="M72" t="s">
        <v>290</v>
      </c>
    </row>
    <row r="73" spans="13:34">
      <c r="M73" t="s">
        <v>291</v>
      </c>
    </row>
    <row r="74" spans="13:34">
      <c r="M74" t="s">
        <v>292</v>
      </c>
    </row>
    <row r="75" spans="13:34">
      <c r="M75" t="s">
        <v>293</v>
      </c>
    </row>
    <row r="76" spans="13:34">
      <c r="M76" t="s">
        <v>294</v>
      </c>
    </row>
    <row r="77" spans="13:34">
      <c r="M77" t="s">
        <v>295</v>
      </c>
    </row>
    <row r="78" spans="13:34">
      <c r="M78" t="s">
        <v>296</v>
      </c>
    </row>
    <row r="79" spans="13:34">
      <c r="M79" t="s">
        <v>297</v>
      </c>
    </row>
    <row r="80" spans="13:34">
      <c r="M80" t="s">
        <v>298</v>
      </c>
    </row>
    <row r="81" spans="13:13">
      <c r="M81" t="s">
        <v>299</v>
      </c>
    </row>
    <row r="82" spans="13:13">
      <c r="M82" t="s">
        <v>300</v>
      </c>
    </row>
    <row r="83" spans="13:13">
      <c r="M83" t="s">
        <v>301</v>
      </c>
    </row>
    <row r="84" spans="13:13">
      <c r="M84" t="s">
        <v>302</v>
      </c>
    </row>
    <row r="85" spans="13:13">
      <c r="M85" t="s">
        <v>303</v>
      </c>
    </row>
    <row r="86" spans="13:13">
      <c r="M86" t="s">
        <v>304</v>
      </c>
    </row>
    <row r="87" spans="13:13">
      <c r="M87" t="s">
        <v>305</v>
      </c>
    </row>
    <row r="88" spans="13:13">
      <c r="M88" t="s">
        <v>306</v>
      </c>
    </row>
    <row r="89" spans="13:13">
      <c r="M89" t="s">
        <v>307</v>
      </c>
    </row>
    <row r="90" spans="13:13">
      <c r="M90" t="s">
        <v>308</v>
      </c>
    </row>
    <row r="91" spans="13:13">
      <c r="M91" t="s">
        <v>309</v>
      </c>
    </row>
    <row r="92" spans="13:13">
      <c r="M92" t="s">
        <v>310</v>
      </c>
    </row>
    <row r="93" spans="13:13">
      <c r="M93" t="s">
        <v>311</v>
      </c>
    </row>
  </sheetData>
  <mergeCells count="10">
    <mergeCell ref="R6:S6"/>
    <mergeCell ref="T8:W8"/>
    <mergeCell ref="T6:W6"/>
    <mergeCell ref="X6:Y6"/>
    <mergeCell ref="Z6:AA6"/>
    <mergeCell ref="AG6:AH6"/>
    <mergeCell ref="AE6:AF6"/>
    <mergeCell ref="AB6:AD6"/>
    <mergeCell ref="Z8:AA8"/>
    <mergeCell ref="AK4:AM4"/>
  </mergeCells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8025-6614-4A9B-BA74-5851FF9FC9C9}">
  <dimension ref="A1:AA56"/>
  <sheetViews>
    <sheetView showRuler="0" zoomScaleNormal="100" workbookViewId="0">
      <selection activeCell="J43" sqref="J43"/>
    </sheetView>
  </sheetViews>
  <sheetFormatPr defaultRowHeight="14.4"/>
  <cols>
    <col min="5" max="5" width="27.44140625" customWidth="1"/>
    <col min="6" max="6" width="15.5546875" customWidth="1"/>
    <col min="7" max="7" width="16.109375" customWidth="1"/>
    <col min="8" max="8" width="18.44140625" customWidth="1"/>
    <col min="9" max="9" width="12.6640625" customWidth="1"/>
    <col min="10" max="10" width="35.88671875" customWidth="1"/>
    <col min="11" max="11" width="15.44140625" customWidth="1"/>
    <col min="12" max="12" width="15.44140625" hidden="1" customWidth="1"/>
    <col min="13" max="13" width="15.6640625" customWidth="1"/>
    <col min="14" max="14" width="15.6640625" hidden="1" customWidth="1"/>
    <col min="15" max="15" width="14.44140625" hidden="1" customWidth="1"/>
    <col min="17" max="17" width="11" customWidth="1"/>
    <col min="18" max="18" width="13.6640625" customWidth="1"/>
    <col min="19" max="19" width="15.109375" customWidth="1"/>
    <col min="22" max="22" width="41.6640625" customWidth="1"/>
    <col min="26" max="26" width="21" customWidth="1"/>
  </cols>
  <sheetData>
    <row r="1" spans="1:27">
      <c r="A1" s="1" t="s">
        <v>30</v>
      </c>
      <c r="B1">
        <v>31</v>
      </c>
      <c r="C1">
        <f>B1/365</f>
        <v>8.4931506849315067E-2</v>
      </c>
      <c r="E1" s="311" t="s">
        <v>536</v>
      </c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9"/>
      <c r="Z1" s="9"/>
      <c r="AA1" s="9"/>
    </row>
    <row r="2" spans="1:27" ht="16.2">
      <c r="A2" s="1" t="s">
        <v>33</v>
      </c>
      <c r="B2">
        <v>28</v>
      </c>
      <c r="C2">
        <f>B2/365</f>
        <v>7.6712328767123292E-2</v>
      </c>
      <c r="E2" s="1" t="s">
        <v>312</v>
      </c>
      <c r="J2" s="1" t="s">
        <v>313</v>
      </c>
      <c r="R2" s="1" t="s">
        <v>314</v>
      </c>
      <c r="V2" s="1" t="s">
        <v>654</v>
      </c>
      <c r="Z2" s="1" t="s">
        <v>655</v>
      </c>
    </row>
    <row r="3" spans="1:27">
      <c r="A3" s="1" t="s">
        <v>34</v>
      </c>
      <c r="B3">
        <v>31</v>
      </c>
      <c r="C3">
        <f>B3/365</f>
        <v>8.4931506849315067E-2</v>
      </c>
      <c r="E3" s="99" t="s">
        <v>465</v>
      </c>
      <c r="F3" s="100">
        <v>300</v>
      </c>
      <c r="J3" s="99" t="s">
        <v>465</v>
      </c>
      <c r="K3" s="100">
        <v>918</v>
      </c>
      <c r="R3" s="1"/>
      <c r="V3" s="1"/>
      <c r="Z3" s="1"/>
    </row>
    <row r="4" spans="1:27">
      <c r="A4" s="1" t="s">
        <v>36</v>
      </c>
      <c r="B4">
        <v>30</v>
      </c>
      <c r="C4">
        <f t="shared" ref="C4:C12" si="0">B4/365</f>
        <v>8.2191780821917804E-2</v>
      </c>
      <c r="E4" s="1"/>
      <c r="J4" s="1"/>
      <c r="R4" s="1"/>
      <c r="V4" s="1"/>
      <c r="Z4" s="1"/>
    </row>
    <row r="5" spans="1:27">
      <c r="A5" s="1" t="s">
        <v>37</v>
      </c>
      <c r="B5">
        <v>31</v>
      </c>
      <c r="C5">
        <f t="shared" si="0"/>
        <v>8.4931506849315067E-2</v>
      </c>
      <c r="E5" s="1"/>
      <c r="J5" s="1"/>
      <c r="R5" s="1"/>
      <c r="V5" s="1"/>
      <c r="Z5" s="1"/>
    </row>
    <row r="6" spans="1:27">
      <c r="A6" s="1" t="s">
        <v>39</v>
      </c>
      <c r="B6">
        <v>30</v>
      </c>
      <c r="C6">
        <f t="shared" si="0"/>
        <v>8.2191780821917804E-2</v>
      </c>
    </row>
    <row r="7" spans="1:27">
      <c r="A7" s="1" t="s">
        <v>40</v>
      </c>
      <c r="B7">
        <v>31</v>
      </c>
      <c r="C7">
        <f t="shared" si="0"/>
        <v>8.4931506849315067E-2</v>
      </c>
      <c r="E7" t="s">
        <v>538</v>
      </c>
      <c r="J7" t="s">
        <v>315</v>
      </c>
      <c r="R7" t="s">
        <v>316</v>
      </c>
      <c r="V7" t="s">
        <v>317</v>
      </c>
      <c r="Z7" t="s">
        <v>317</v>
      </c>
    </row>
    <row r="8" spans="1:27">
      <c r="A8" s="1" t="s">
        <v>45</v>
      </c>
      <c r="B8">
        <v>31</v>
      </c>
      <c r="C8">
        <f t="shared" si="0"/>
        <v>8.4931506849315067E-2</v>
      </c>
      <c r="E8" s="308" t="s">
        <v>537</v>
      </c>
      <c r="F8" s="19">
        <f>'Input Data'!F2*1000000/'Input Data'!B12</f>
        <v>2170.5942363487711</v>
      </c>
      <c r="G8" s="19" t="s">
        <v>318</v>
      </c>
      <c r="J8" s="309" t="s">
        <v>319</v>
      </c>
      <c r="K8" s="315">
        <v>240</v>
      </c>
      <c r="L8" s="80"/>
      <c r="R8" s="309" t="s">
        <v>320</v>
      </c>
      <c r="S8" s="309"/>
      <c r="T8" s="315">
        <v>3327</v>
      </c>
      <c r="V8">
        <v>3400000</v>
      </c>
      <c r="W8" t="s">
        <v>321</v>
      </c>
      <c r="Z8">
        <v>2100000</v>
      </c>
      <c r="AA8" t="s">
        <v>321</v>
      </c>
    </row>
    <row r="9" spans="1:27">
      <c r="A9" s="1" t="s">
        <v>49</v>
      </c>
      <c r="B9">
        <v>30</v>
      </c>
      <c r="C9">
        <f t="shared" si="0"/>
        <v>8.2191780821917804E-2</v>
      </c>
      <c r="E9" s="308"/>
      <c r="F9" s="19">
        <f>F8*8760*5%</f>
        <v>950720.27552076173</v>
      </c>
      <c r="G9" s="19" t="s">
        <v>322</v>
      </c>
      <c r="J9" s="265"/>
      <c r="K9" s="316"/>
      <c r="L9" s="126"/>
      <c r="R9" s="265"/>
      <c r="S9" s="265"/>
      <c r="T9" s="316"/>
    </row>
    <row r="10" spans="1:27">
      <c r="A10" s="1" t="s">
        <v>53</v>
      </c>
      <c r="B10">
        <v>31</v>
      </c>
      <c r="C10">
        <f t="shared" si="0"/>
        <v>8.4931506849315067E-2</v>
      </c>
      <c r="V10" t="s">
        <v>323</v>
      </c>
      <c r="Z10" t="s">
        <v>323</v>
      </c>
    </row>
    <row r="11" spans="1:27">
      <c r="A11" s="1" t="s">
        <v>56</v>
      </c>
      <c r="B11">
        <v>30</v>
      </c>
      <c r="C11">
        <f t="shared" si="0"/>
        <v>8.2191780821917804E-2</v>
      </c>
      <c r="V11" t="s">
        <v>324</v>
      </c>
      <c r="W11">
        <v>1.5E-3</v>
      </c>
      <c r="Z11" t="s">
        <v>324</v>
      </c>
      <c r="AA11">
        <v>1.5E-3</v>
      </c>
    </row>
    <row r="12" spans="1:27">
      <c r="A12" s="1" t="s">
        <v>60</v>
      </c>
      <c r="B12">
        <v>31</v>
      </c>
      <c r="C12">
        <f t="shared" si="0"/>
        <v>8.4931506849315067E-2</v>
      </c>
      <c r="E12" t="s">
        <v>357</v>
      </c>
      <c r="G12" s="306" t="s">
        <v>403</v>
      </c>
      <c r="J12" t="s">
        <v>325</v>
      </c>
      <c r="L12">
        <f>N12*2000/8760</f>
        <v>3.6000008424657532</v>
      </c>
      <c r="N12">
        <f>(2025434*1038*1000/1000000)*0.015/2000</f>
        <v>15.768003689999999</v>
      </c>
      <c r="R12" t="s">
        <v>326</v>
      </c>
    </row>
    <row r="13" spans="1:27" ht="14.4" customHeight="1">
      <c r="E13" s="19"/>
      <c r="F13" s="307" t="s">
        <v>550</v>
      </c>
      <c r="G13" s="306"/>
      <c r="J13" s="19"/>
      <c r="K13" s="306" t="s">
        <v>467</v>
      </c>
      <c r="L13" s="313" t="s">
        <v>327</v>
      </c>
      <c r="M13" s="306" t="s">
        <v>328</v>
      </c>
      <c r="N13" s="318" t="s">
        <v>328</v>
      </c>
      <c r="O13" s="317" t="s">
        <v>463</v>
      </c>
      <c r="Q13" s="96"/>
      <c r="R13" s="19"/>
      <c r="S13" s="308" t="s">
        <v>652</v>
      </c>
      <c r="T13" s="308" t="s">
        <v>328</v>
      </c>
      <c r="V13" s="4" t="s">
        <v>656</v>
      </c>
      <c r="W13" s="4"/>
      <c r="X13" s="4"/>
      <c r="Y13" s="4"/>
      <c r="Z13" s="4"/>
      <c r="AA13" s="4"/>
    </row>
    <row r="14" spans="1:27">
      <c r="E14" s="19" t="s">
        <v>95</v>
      </c>
      <c r="F14" s="308"/>
      <c r="G14" s="306"/>
      <c r="J14" s="19" t="s">
        <v>95</v>
      </c>
      <c r="K14" s="306"/>
      <c r="L14" s="314"/>
      <c r="M14" s="306"/>
      <c r="N14" s="318"/>
      <c r="O14" s="317"/>
      <c r="Q14" s="96"/>
      <c r="R14" s="19" t="s">
        <v>95</v>
      </c>
      <c r="S14" s="308"/>
      <c r="T14" s="308"/>
    </row>
    <row r="15" spans="1:27" ht="16.2">
      <c r="E15" s="19" t="s">
        <v>543</v>
      </c>
      <c r="F15" s="19">
        <v>1.5</v>
      </c>
      <c r="G15" s="41">
        <f>F15*8760*5%/2000</f>
        <v>0.32850000000000001</v>
      </c>
      <c r="J15" s="19" t="s">
        <v>329</v>
      </c>
      <c r="K15" s="97">
        <v>6.7</v>
      </c>
      <c r="L15" s="81">
        <v>3.6</v>
      </c>
      <c r="M15" s="97">
        <v>30</v>
      </c>
      <c r="N15" s="81">
        <f>L15/2000*8760</f>
        <v>15.767999999999999</v>
      </c>
      <c r="O15" s="98">
        <f>K15*8760/2000</f>
        <v>29.346</v>
      </c>
      <c r="Q15" s="7"/>
      <c r="R15" s="79" t="s">
        <v>362</v>
      </c>
      <c r="S15" s="19">
        <v>53.52</v>
      </c>
      <c r="T15" s="19">
        <v>9.76</v>
      </c>
    </row>
    <row r="16" spans="1:27" ht="16.2">
      <c r="E16" s="19" t="s">
        <v>544</v>
      </c>
      <c r="F16" s="19">
        <v>1.5</v>
      </c>
      <c r="G16" s="41">
        <f>F16*8760*5%/2000</f>
        <v>0.32850000000000001</v>
      </c>
      <c r="J16" s="19" t="s">
        <v>330</v>
      </c>
      <c r="K16" s="97">
        <v>6.7</v>
      </c>
      <c r="L16" s="81">
        <v>3.6</v>
      </c>
      <c r="M16" s="97">
        <v>30</v>
      </c>
      <c r="N16" s="81">
        <f>L16/2000*8760</f>
        <v>15.767999999999999</v>
      </c>
      <c r="O16" s="98">
        <f>K16*8760/2000</f>
        <v>29.346</v>
      </c>
      <c r="Q16" s="7"/>
      <c r="R16" s="79" t="s">
        <v>330</v>
      </c>
      <c r="S16" s="19">
        <v>53.52</v>
      </c>
      <c r="T16" s="19">
        <v>9.76</v>
      </c>
    </row>
    <row r="17" spans="5:27" ht="16.2">
      <c r="E17" s="174" t="s">
        <v>545</v>
      </c>
      <c r="F17" s="174">
        <f>0.37*'Input Data'!F2</f>
        <v>111</v>
      </c>
      <c r="G17" s="175" t="s">
        <v>402</v>
      </c>
      <c r="J17" s="19" t="s">
        <v>464</v>
      </c>
      <c r="K17" s="41">
        <v>11.8</v>
      </c>
      <c r="L17" s="19"/>
      <c r="M17" s="41">
        <v>51.7</v>
      </c>
      <c r="N17" s="19"/>
      <c r="O17" s="98">
        <f>K17*8760/2000</f>
        <v>51.683999999999997</v>
      </c>
      <c r="R17" t="s">
        <v>653</v>
      </c>
    </row>
    <row r="18" spans="5:27" ht="16.2">
      <c r="E18" s="19" t="s">
        <v>547</v>
      </c>
      <c r="F18" s="19">
        <f>'Emission Factors'!D7*'Input Data'!F2</f>
        <v>63</v>
      </c>
      <c r="G18" s="41">
        <f>F18*8760*5%/2000</f>
        <v>13.797000000000001</v>
      </c>
      <c r="J18" s="19" t="s">
        <v>478</v>
      </c>
      <c r="K18" s="168">
        <v>2.6</v>
      </c>
      <c r="L18" s="169">
        <v>0.7</v>
      </c>
      <c r="M18" s="97">
        <v>11.5</v>
      </c>
      <c r="N18" s="81">
        <f>L18/2000*8760</f>
        <v>3.0659999999999998</v>
      </c>
      <c r="O18" s="98">
        <f>K18*8760/2000</f>
        <v>11.388</v>
      </c>
    </row>
    <row r="19" spans="5:27" ht="16.2">
      <c r="E19" s="19" t="s">
        <v>548</v>
      </c>
      <c r="F19" s="19">
        <v>35.5</v>
      </c>
      <c r="G19" s="41">
        <f>F19*8760*5%/2000</f>
        <v>7.7744999999999997</v>
      </c>
      <c r="J19" s="19" t="s">
        <v>332</v>
      </c>
      <c r="K19" s="41">
        <v>40</v>
      </c>
      <c r="L19" s="19"/>
      <c r="M19" s="41">
        <v>175</v>
      </c>
      <c r="N19" s="19"/>
      <c r="O19" s="98">
        <f>K19*8760/2000</f>
        <v>175.2</v>
      </c>
      <c r="R19" t="s">
        <v>333</v>
      </c>
      <c r="S19" s="20" t="s">
        <v>516</v>
      </c>
    </row>
    <row r="20" spans="5:27" ht="16.2">
      <c r="E20" s="174" t="s">
        <v>546</v>
      </c>
      <c r="F20" s="174">
        <v>4.0999999999999996</v>
      </c>
      <c r="G20" s="175" t="s">
        <v>402</v>
      </c>
      <c r="J20" s="19" t="s">
        <v>477</v>
      </c>
      <c r="K20" s="42">
        <v>60</v>
      </c>
      <c r="L20" s="19"/>
      <c r="M20" s="41"/>
      <c r="N20" s="19"/>
      <c r="O20" s="98"/>
      <c r="S20" t="s">
        <v>517</v>
      </c>
    </row>
    <row r="21" spans="5:27" ht="16.2">
      <c r="E21" s="4" t="s">
        <v>468</v>
      </c>
      <c r="J21" s="19" t="s">
        <v>670</v>
      </c>
      <c r="K21" s="97">
        <v>3</v>
      </c>
      <c r="L21" s="19"/>
      <c r="M21" s="41">
        <v>12</v>
      </c>
      <c r="N21" s="19"/>
      <c r="O21" s="98">
        <f>K21*8760/2000</f>
        <v>13.14</v>
      </c>
      <c r="AA21" t="s">
        <v>59</v>
      </c>
    </row>
    <row r="22" spans="5:27" ht="16.2">
      <c r="E22" t="s">
        <v>559</v>
      </c>
      <c r="J22" s="19" t="s">
        <v>335</v>
      </c>
      <c r="K22" s="41">
        <v>0.64</v>
      </c>
      <c r="L22" s="19"/>
      <c r="M22" s="41">
        <v>2.8</v>
      </c>
      <c r="N22" s="19"/>
      <c r="O22" s="98">
        <f>K22*8760/2000</f>
        <v>2.8032000000000004</v>
      </c>
      <c r="R22" t="s">
        <v>336</v>
      </c>
      <c r="S22" s="20" t="s">
        <v>518</v>
      </c>
    </row>
    <row r="23" spans="5:27" ht="16.2">
      <c r="E23" t="s">
        <v>549</v>
      </c>
      <c r="J23" s="19" t="s">
        <v>337</v>
      </c>
      <c r="K23" s="41">
        <v>1.32</v>
      </c>
      <c r="L23" s="19"/>
      <c r="M23" s="41"/>
      <c r="N23" s="19"/>
      <c r="O23" s="98"/>
      <c r="S23" t="s">
        <v>519</v>
      </c>
    </row>
    <row r="24" spans="5:27">
      <c r="J24" s="19" t="s">
        <v>338</v>
      </c>
      <c r="K24" s="41">
        <v>14</v>
      </c>
      <c r="L24" s="19"/>
      <c r="M24" s="41">
        <v>61.3</v>
      </c>
      <c r="N24" s="19"/>
      <c r="O24" s="98">
        <f>K24*8760/2000</f>
        <v>61.32</v>
      </c>
      <c r="S24" s="20" t="s">
        <v>358</v>
      </c>
    </row>
    <row r="25" spans="5:27" ht="16.2">
      <c r="H25" s="40"/>
      <c r="J25" s="4" t="s">
        <v>677</v>
      </c>
      <c r="L25">
        <f>N25*2000/8760</f>
        <v>0.68640016063013709</v>
      </c>
      <c r="N25">
        <f>(2025434*1038*1000/1000000)*0.00286/2000</f>
        <v>3.0064327035600003</v>
      </c>
      <c r="S25" s="20" t="s">
        <v>359</v>
      </c>
    </row>
    <row r="26" spans="5:27" ht="16.2">
      <c r="E26" t="s">
        <v>525</v>
      </c>
      <c r="H26" s="40"/>
      <c r="J26" t="s">
        <v>475</v>
      </c>
      <c r="S26" s="20" t="s">
        <v>360</v>
      </c>
    </row>
    <row r="27" spans="5:27" ht="16.2">
      <c r="E27" s="19"/>
      <c r="F27" s="309" t="s">
        <v>467</v>
      </c>
      <c r="G27" s="310" t="s">
        <v>328</v>
      </c>
      <c r="J27" t="s">
        <v>476</v>
      </c>
      <c r="S27" s="20" t="s">
        <v>361</v>
      </c>
    </row>
    <row r="28" spans="5:27">
      <c r="E28" s="19" t="s">
        <v>95</v>
      </c>
      <c r="F28" s="265"/>
      <c r="G28" s="265"/>
    </row>
    <row r="29" spans="5:27">
      <c r="E29" s="19" t="s">
        <v>331</v>
      </c>
      <c r="F29" s="19">
        <f>'Input Data'!F2*'Emission Factors'!D8</f>
        <v>209.39999999999998</v>
      </c>
      <c r="G29" s="41">
        <f>F29*8760*5%/2000</f>
        <v>45.858599999999996</v>
      </c>
      <c r="K29" s="92"/>
      <c r="R29" t="s">
        <v>339</v>
      </c>
      <c r="S29" s="20" t="s">
        <v>514</v>
      </c>
    </row>
    <row r="30" spans="5:27">
      <c r="E30" s="19" t="s">
        <v>334</v>
      </c>
      <c r="F30" s="19">
        <v>9.2200000000000006</v>
      </c>
      <c r="G30" s="41">
        <f>F30*8760*5%/2000</f>
        <v>2.0191800000000004</v>
      </c>
      <c r="S30" t="s">
        <v>515</v>
      </c>
    </row>
    <row r="31" spans="5:27" ht="16.2">
      <c r="E31" t="s">
        <v>648</v>
      </c>
    </row>
    <row r="32" spans="5:27">
      <c r="E32" s="173"/>
      <c r="R32" t="s">
        <v>340</v>
      </c>
      <c r="U32" s="21" t="s">
        <v>341</v>
      </c>
      <c r="W32">
        <v>84000</v>
      </c>
      <c r="X32" t="s">
        <v>19</v>
      </c>
      <c r="Y32" t="s">
        <v>342</v>
      </c>
    </row>
    <row r="33" spans="3:25">
      <c r="U33" s="21" t="s">
        <v>343</v>
      </c>
      <c r="W33">
        <v>5.0000000000000002E-5</v>
      </c>
      <c r="Y33" t="s">
        <v>344</v>
      </c>
    </row>
    <row r="34" spans="3:25">
      <c r="E34" s="173" t="s">
        <v>541</v>
      </c>
      <c r="U34" s="21" t="s">
        <v>345</v>
      </c>
      <c r="W34">
        <v>212</v>
      </c>
      <c r="X34" t="s">
        <v>24</v>
      </c>
      <c r="Y34" t="s">
        <v>346</v>
      </c>
    </row>
    <row r="35" spans="3:25" ht="15.6">
      <c r="E35" t="s">
        <v>539</v>
      </c>
      <c r="U35" s="21" t="s">
        <v>347</v>
      </c>
      <c r="W35">
        <v>5</v>
      </c>
      <c r="Y35" t="s">
        <v>348</v>
      </c>
    </row>
    <row r="36" spans="3:25">
      <c r="C36" s="170"/>
      <c r="E36" t="s">
        <v>523</v>
      </c>
      <c r="G36" s="21"/>
      <c r="H36" s="69"/>
      <c r="U36" s="21" t="s">
        <v>526</v>
      </c>
      <c r="W36">
        <v>1060</v>
      </c>
      <c r="X36" t="s">
        <v>24</v>
      </c>
    </row>
    <row r="37" spans="3:25">
      <c r="E37" t="s">
        <v>520</v>
      </c>
      <c r="H37" s="69"/>
      <c r="U37" s="21" t="s">
        <v>527</v>
      </c>
      <c r="W37">
        <v>8.34</v>
      </c>
      <c r="X37" t="s">
        <v>8</v>
      </c>
    </row>
    <row r="38" spans="3:25" ht="15.6">
      <c r="E38" t="s">
        <v>540</v>
      </c>
      <c r="U38" s="21" t="s">
        <v>528</v>
      </c>
      <c r="W38">
        <v>8760</v>
      </c>
      <c r="X38" t="s">
        <v>349</v>
      </c>
    </row>
    <row r="39" spans="3:25">
      <c r="E39" t="s">
        <v>521</v>
      </c>
      <c r="U39" s="21"/>
    </row>
    <row r="40" spans="3:25">
      <c r="D40" s="171"/>
      <c r="E40" t="s">
        <v>524</v>
      </c>
      <c r="I40" s="104"/>
      <c r="J40" s="171"/>
      <c r="U40" s="21" t="s">
        <v>529</v>
      </c>
      <c r="W40">
        <v>8760</v>
      </c>
      <c r="X40" t="s">
        <v>349</v>
      </c>
    </row>
    <row r="41" spans="3:25">
      <c r="E41" t="s">
        <v>522</v>
      </c>
      <c r="I41" s="103"/>
      <c r="U41" s="21" t="s">
        <v>530</v>
      </c>
      <c r="W41">
        <v>4</v>
      </c>
      <c r="Y41" t="s">
        <v>342</v>
      </c>
    </row>
    <row r="43" spans="3:25">
      <c r="C43" s="104"/>
      <c r="E43" s="173" t="s">
        <v>683</v>
      </c>
      <c r="I43" s="104"/>
      <c r="R43" s="92" t="s">
        <v>531</v>
      </c>
      <c r="S43" t="s">
        <v>532</v>
      </c>
    </row>
    <row r="44" spans="3:25">
      <c r="E44" t="s">
        <v>686</v>
      </c>
    </row>
    <row r="45" spans="3:25">
      <c r="C45" s="104"/>
      <c r="E45" t="s">
        <v>555</v>
      </c>
      <c r="I45" s="104"/>
      <c r="S45" t="s">
        <v>533</v>
      </c>
    </row>
    <row r="46" spans="3:25">
      <c r="E46" t="s">
        <v>554</v>
      </c>
      <c r="S46" t="s">
        <v>534</v>
      </c>
    </row>
    <row r="47" spans="3:25">
      <c r="C47" s="104"/>
      <c r="I47" s="104"/>
      <c r="S47" t="s">
        <v>535</v>
      </c>
    </row>
    <row r="48" spans="3:25" ht="16.2">
      <c r="C48" s="172"/>
      <c r="E48" t="s">
        <v>556</v>
      </c>
      <c r="I48" s="176"/>
      <c r="J48" s="176"/>
    </row>
    <row r="49" spans="5:26" ht="16.2">
      <c r="E49" t="s">
        <v>557</v>
      </c>
      <c r="I49" s="176"/>
      <c r="J49" s="176"/>
      <c r="T49" s="173" t="s">
        <v>350</v>
      </c>
    </row>
    <row r="50" spans="5:26" ht="16.2">
      <c r="E50" t="s">
        <v>558</v>
      </c>
      <c r="I50" s="176"/>
      <c r="J50" s="176"/>
      <c r="U50" s="21" t="s">
        <v>351</v>
      </c>
      <c r="W50">
        <v>2.2277807999999997</v>
      </c>
      <c r="X50" t="s">
        <v>55</v>
      </c>
    </row>
    <row r="51" spans="5:26">
      <c r="U51" s="21" t="s">
        <v>352</v>
      </c>
      <c r="W51">
        <v>9.757679903999998</v>
      </c>
      <c r="X51" t="s">
        <v>79</v>
      </c>
    </row>
    <row r="52" spans="5:26">
      <c r="E52" s="173" t="s">
        <v>684</v>
      </c>
      <c r="U52" s="21" t="s">
        <v>353</v>
      </c>
      <c r="W52">
        <v>9.757679903999998</v>
      </c>
      <c r="X52" t="s">
        <v>79</v>
      </c>
    </row>
    <row r="53" spans="5:26">
      <c r="E53" t="s">
        <v>681</v>
      </c>
      <c r="U53" s="21"/>
    </row>
    <row r="54" spans="5:26">
      <c r="E54" t="s">
        <v>682</v>
      </c>
      <c r="U54" s="21" t="s">
        <v>354</v>
      </c>
      <c r="W54">
        <v>2.4394199759999995</v>
      </c>
      <c r="X54" t="s">
        <v>355</v>
      </c>
      <c r="Y54">
        <v>7.0175095200000009E-2</v>
      </c>
      <c r="Z54" t="s">
        <v>356</v>
      </c>
    </row>
    <row r="56" spans="5:26">
      <c r="E56" t="s">
        <v>685</v>
      </c>
    </row>
  </sheetData>
  <mergeCells count="17">
    <mergeCell ref="E1:X1"/>
    <mergeCell ref="E8:E9"/>
    <mergeCell ref="J8:J9"/>
    <mergeCell ref="R8:S9"/>
    <mergeCell ref="M13:M14"/>
    <mergeCell ref="L13:L14"/>
    <mergeCell ref="T8:T9"/>
    <mergeCell ref="S13:S14"/>
    <mergeCell ref="T13:T14"/>
    <mergeCell ref="O13:O14"/>
    <mergeCell ref="N13:N14"/>
    <mergeCell ref="K8:K9"/>
    <mergeCell ref="K13:K14"/>
    <mergeCell ref="F13:F14"/>
    <mergeCell ref="G12:G14"/>
    <mergeCell ref="F27:F28"/>
    <mergeCell ref="G27:G28"/>
  </mergeCells>
  <pageMargins left="0.7" right="0.7" top="0.75" bottom="0.75" header="0.3" footer="0.3"/>
  <pageSetup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9707-9039-4336-ACE9-0E0AFBAC93FB}">
  <dimension ref="A1:AO83"/>
  <sheetViews>
    <sheetView workbookViewId="0">
      <selection activeCell="F25" sqref="F25"/>
    </sheetView>
  </sheetViews>
  <sheetFormatPr defaultRowHeight="14.4"/>
  <cols>
    <col min="1" max="1" width="30.109375" customWidth="1"/>
    <col min="2" max="2" width="12.6640625" customWidth="1"/>
    <col min="3" max="3" width="10.6640625" customWidth="1"/>
    <col min="4" max="4" width="9.33203125" customWidth="1"/>
    <col min="5" max="5" width="19.33203125" customWidth="1"/>
    <col min="7" max="7" width="30.109375" customWidth="1"/>
    <col min="8" max="8" width="12.6640625" customWidth="1"/>
    <col min="9" max="9" width="10.6640625" customWidth="1"/>
    <col min="10" max="10" width="9.33203125" customWidth="1"/>
    <col min="11" max="11" width="19.5546875" customWidth="1"/>
    <col min="13" max="13" width="30.109375" customWidth="1"/>
    <col min="14" max="14" width="12.6640625" customWidth="1"/>
    <col min="15" max="15" width="10.6640625" customWidth="1"/>
    <col min="16" max="16" width="9.33203125" customWidth="1"/>
    <col min="17" max="17" width="19.5546875" customWidth="1"/>
    <col min="19" max="19" width="30.109375" customWidth="1"/>
    <col min="20" max="20" width="12.6640625" customWidth="1"/>
    <col min="21" max="21" width="10.6640625" customWidth="1"/>
    <col min="22" max="22" width="9.33203125" customWidth="1"/>
    <col min="23" max="23" width="19.5546875" customWidth="1"/>
    <col min="25" max="25" width="30.109375" customWidth="1"/>
    <col min="26" max="26" width="12.6640625" customWidth="1"/>
    <col min="27" max="27" width="10.6640625" customWidth="1"/>
    <col min="28" max="28" width="9.33203125" customWidth="1"/>
    <col min="29" max="29" width="19.5546875" customWidth="1"/>
    <col min="31" max="31" width="30.109375" customWidth="1"/>
    <col min="32" max="32" width="12.6640625" customWidth="1"/>
    <col min="33" max="33" width="10.6640625" customWidth="1"/>
    <col min="34" max="34" width="9.33203125" customWidth="1"/>
    <col min="35" max="35" width="19.5546875" customWidth="1"/>
    <col min="37" max="37" width="30.109375" customWidth="1"/>
    <col min="38" max="38" width="12.6640625" customWidth="1"/>
    <col min="39" max="39" width="10.6640625" customWidth="1"/>
    <col min="40" max="40" width="9.33203125" customWidth="1"/>
    <col min="41" max="41" width="19.5546875" customWidth="1"/>
  </cols>
  <sheetData>
    <row r="1" spans="1:41">
      <c r="A1" s="12" t="s">
        <v>3</v>
      </c>
      <c r="B1" s="1"/>
      <c r="C1" s="1" t="s">
        <v>4</v>
      </c>
      <c r="D1" s="1"/>
      <c r="E1" s="1"/>
      <c r="F1" s="1"/>
      <c r="G1" s="12" t="s">
        <v>3</v>
      </c>
      <c r="H1" s="1"/>
      <c r="I1" s="1" t="s">
        <v>81</v>
      </c>
      <c r="J1" s="1"/>
      <c r="K1" s="1"/>
      <c r="L1" s="1"/>
      <c r="M1" s="12" t="s">
        <v>3</v>
      </c>
      <c r="N1" s="1"/>
      <c r="O1" s="1" t="s">
        <v>85</v>
      </c>
      <c r="P1" s="1"/>
      <c r="Q1" s="1"/>
      <c r="R1" s="1"/>
      <c r="S1" s="12" t="s">
        <v>3</v>
      </c>
      <c r="T1" s="1"/>
      <c r="U1" s="1" t="s">
        <v>86</v>
      </c>
      <c r="V1" s="1"/>
      <c r="W1" s="1"/>
      <c r="X1" s="1"/>
      <c r="Y1" s="12" t="s">
        <v>3</v>
      </c>
      <c r="Z1" s="1"/>
      <c r="AA1" s="1" t="s">
        <v>404</v>
      </c>
      <c r="AB1" s="1"/>
      <c r="AC1" s="1"/>
      <c r="AD1" s="1"/>
      <c r="AE1" s="12" t="s">
        <v>3</v>
      </c>
      <c r="AF1" s="1"/>
      <c r="AG1" s="1" t="s">
        <v>88</v>
      </c>
      <c r="AH1" s="1"/>
      <c r="AI1" s="1"/>
      <c r="AJ1" s="1"/>
      <c r="AK1" s="12" t="s">
        <v>3</v>
      </c>
      <c r="AL1" s="1"/>
      <c r="AM1" s="1" t="s">
        <v>92</v>
      </c>
      <c r="AN1" s="1"/>
      <c r="AO1" s="1"/>
    </row>
    <row r="2" spans="1:41">
      <c r="A2" s="12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2"/>
      <c r="N2" s="1"/>
      <c r="O2" s="1"/>
      <c r="P2" s="1"/>
      <c r="Q2" s="1"/>
      <c r="R2" s="1"/>
      <c r="S2" s="12"/>
      <c r="T2" s="1"/>
      <c r="U2" s="1"/>
      <c r="V2" s="1"/>
      <c r="W2" s="1"/>
      <c r="X2" s="1"/>
      <c r="Y2" s="12"/>
      <c r="Z2" s="1"/>
      <c r="AA2" s="1"/>
      <c r="AB2" s="1"/>
      <c r="AC2" s="1"/>
      <c r="AD2" s="1"/>
      <c r="AE2" s="12"/>
      <c r="AF2" s="1"/>
      <c r="AG2" s="1"/>
      <c r="AH2" s="1"/>
      <c r="AI2" s="1"/>
      <c r="AJ2" s="1"/>
      <c r="AK2" s="12"/>
      <c r="AL2" s="1"/>
      <c r="AM2" s="1"/>
      <c r="AN2" s="1"/>
      <c r="AO2" s="1"/>
    </row>
    <row r="3" spans="1:41">
      <c r="A3" s="12"/>
      <c r="B3" s="1"/>
      <c r="C3" s="1"/>
      <c r="D3" s="1"/>
      <c r="E3" s="1"/>
      <c r="F3" s="1"/>
      <c r="G3" s="12"/>
      <c r="H3" s="1"/>
      <c r="I3" s="1"/>
      <c r="J3" s="1"/>
      <c r="K3" s="1"/>
      <c r="L3" s="1"/>
      <c r="M3" s="12"/>
      <c r="N3" s="1"/>
      <c r="O3" s="1"/>
      <c r="P3" s="1"/>
      <c r="Q3" s="1"/>
      <c r="R3" s="1"/>
      <c r="S3" s="12"/>
      <c r="T3" s="1"/>
      <c r="U3" s="1"/>
      <c r="V3" s="1"/>
      <c r="W3" s="1"/>
      <c r="X3" s="1"/>
      <c r="Y3" s="12"/>
      <c r="Z3" s="1"/>
      <c r="AA3" s="1"/>
      <c r="AB3" s="1"/>
      <c r="AC3" s="1"/>
      <c r="AD3" s="1"/>
      <c r="AE3" s="12"/>
      <c r="AF3" s="1"/>
      <c r="AG3" s="1"/>
      <c r="AH3" s="1"/>
      <c r="AI3" s="1"/>
      <c r="AJ3" s="1"/>
      <c r="AK3" s="12"/>
      <c r="AL3" s="1"/>
      <c r="AM3" s="1"/>
      <c r="AN3" s="1"/>
      <c r="AO3" s="1"/>
    </row>
    <row r="4" spans="1:41">
      <c r="A4" s="12"/>
      <c r="B4" s="1"/>
      <c r="C4" s="1"/>
      <c r="D4" s="1" t="s">
        <v>405</v>
      </c>
      <c r="E4" s="1" t="s">
        <v>406</v>
      </c>
      <c r="F4" s="1"/>
      <c r="G4" s="12"/>
      <c r="H4" s="1"/>
      <c r="I4" s="1"/>
      <c r="J4" s="1" t="s">
        <v>405</v>
      </c>
      <c r="K4" s="1" t="s">
        <v>406</v>
      </c>
      <c r="L4" s="1"/>
      <c r="M4" s="12"/>
      <c r="N4" s="1"/>
      <c r="O4" s="1"/>
      <c r="P4" s="1" t="s">
        <v>405</v>
      </c>
      <c r="Q4" s="1" t="s">
        <v>406</v>
      </c>
      <c r="R4" s="1"/>
      <c r="S4" s="12"/>
      <c r="T4" s="1"/>
      <c r="U4" s="1"/>
      <c r="V4" s="1" t="s">
        <v>405</v>
      </c>
      <c r="W4" s="1" t="s">
        <v>406</v>
      </c>
      <c r="X4" s="1"/>
      <c r="Y4" s="12"/>
      <c r="Z4" s="1"/>
      <c r="AA4" s="1"/>
      <c r="AB4" s="1" t="s">
        <v>405</v>
      </c>
      <c r="AC4" s="1" t="s">
        <v>406</v>
      </c>
      <c r="AD4" s="1"/>
      <c r="AE4" s="12"/>
      <c r="AF4" s="1"/>
      <c r="AG4" s="1"/>
      <c r="AH4" s="1" t="s">
        <v>405</v>
      </c>
      <c r="AI4" s="1" t="s">
        <v>406</v>
      </c>
      <c r="AJ4" s="1"/>
      <c r="AK4" s="12"/>
      <c r="AL4" s="1"/>
      <c r="AM4" s="1"/>
      <c r="AN4" s="1" t="s">
        <v>405</v>
      </c>
      <c r="AO4" s="1" t="s">
        <v>406</v>
      </c>
    </row>
    <row r="5" spans="1:41">
      <c r="A5" s="16" t="s">
        <v>95</v>
      </c>
      <c r="B5" s="17" t="s">
        <v>407</v>
      </c>
      <c r="C5" s="17" t="s">
        <v>408</v>
      </c>
      <c r="D5" s="17" t="s">
        <v>409</v>
      </c>
      <c r="E5" s="17" t="s">
        <v>410</v>
      </c>
      <c r="F5" s="17"/>
      <c r="G5" s="16" t="s">
        <v>95</v>
      </c>
      <c r="H5" s="17" t="s">
        <v>407</v>
      </c>
      <c r="I5" s="17" t="s">
        <v>408</v>
      </c>
      <c r="J5" s="17" t="s">
        <v>409</v>
      </c>
      <c r="K5" s="17" t="s">
        <v>410</v>
      </c>
      <c r="L5" s="17"/>
      <c r="M5" s="16" t="s">
        <v>95</v>
      </c>
      <c r="N5" s="17" t="s">
        <v>407</v>
      </c>
      <c r="O5" s="17" t="s">
        <v>408</v>
      </c>
      <c r="P5" s="17" t="s">
        <v>409</v>
      </c>
      <c r="Q5" s="17" t="s">
        <v>410</v>
      </c>
      <c r="R5" s="17"/>
      <c r="S5" s="16" t="s">
        <v>95</v>
      </c>
      <c r="T5" s="17" t="s">
        <v>407</v>
      </c>
      <c r="U5" s="17" t="s">
        <v>408</v>
      </c>
      <c r="V5" s="17" t="s">
        <v>409</v>
      </c>
      <c r="W5" s="17" t="s">
        <v>410</v>
      </c>
      <c r="X5" s="17"/>
      <c r="Y5" s="16" t="s">
        <v>95</v>
      </c>
      <c r="Z5" s="17" t="s">
        <v>407</v>
      </c>
      <c r="AA5" s="17" t="s">
        <v>408</v>
      </c>
      <c r="AB5" s="17" t="s">
        <v>409</v>
      </c>
      <c r="AC5" s="17" t="s">
        <v>410</v>
      </c>
      <c r="AD5" s="17"/>
      <c r="AE5" s="16" t="s">
        <v>95</v>
      </c>
      <c r="AF5" s="17" t="s">
        <v>407</v>
      </c>
      <c r="AG5" s="17" t="s">
        <v>408</v>
      </c>
      <c r="AH5" s="17" t="s">
        <v>409</v>
      </c>
      <c r="AI5" s="17" t="s">
        <v>410</v>
      </c>
      <c r="AJ5" s="17"/>
      <c r="AK5" s="16" t="s">
        <v>95</v>
      </c>
      <c r="AL5" s="17" t="s">
        <v>407</v>
      </c>
      <c r="AM5" s="17" t="s">
        <v>408</v>
      </c>
      <c r="AN5" s="17" t="s">
        <v>409</v>
      </c>
      <c r="AO5" s="17" t="s">
        <v>410</v>
      </c>
    </row>
    <row r="6" spans="1:41">
      <c r="A6" s="6" t="s">
        <v>338</v>
      </c>
      <c r="C6" t="s">
        <v>411</v>
      </c>
      <c r="D6" t="s">
        <v>10</v>
      </c>
      <c r="E6" t="s">
        <v>383</v>
      </c>
      <c r="G6" s="6" t="s">
        <v>338</v>
      </c>
      <c r="I6" t="s">
        <v>411</v>
      </c>
      <c r="J6">
        <v>61.32</v>
      </c>
      <c r="K6" t="s">
        <v>412</v>
      </c>
      <c r="M6" s="6" t="s">
        <v>338</v>
      </c>
      <c r="O6" t="s">
        <v>411</v>
      </c>
      <c r="P6">
        <v>61.32</v>
      </c>
      <c r="Q6" t="s">
        <v>412</v>
      </c>
      <c r="S6" s="6" t="s">
        <v>338</v>
      </c>
      <c r="U6" t="s">
        <v>411</v>
      </c>
      <c r="V6">
        <v>61.32</v>
      </c>
      <c r="W6" t="s">
        <v>412</v>
      </c>
      <c r="Y6" s="6" t="s">
        <v>338</v>
      </c>
      <c r="AA6" t="s">
        <v>411</v>
      </c>
      <c r="AB6" t="s">
        <v>10</v>
      </c>
      <c r="AC6" t="s">
        <v>383</v>
      </c>
      <c r="AE6" s="6" t="s">
        <v>338</v>
      </c>
      <c r="AG6" t="s">
        <v>411</v>
      </c>
      <c r="AH6" t="s">
        <v>10</v>
      </c>
      <c r="AI6" t="s">
        <v>383</v>
      </c>
      <c r="AK6" s="6" t="s">
        <v>338</v>
      </c>
      <c r="AM6" t="s">
        <v>411</v>
      </c>
      <c r="AN6" t="s">
        <v>10</v>
      </c>
      <c r="AO6" t="s">
        <v>383</v>
      </c>
    </row>
    <row r="7" spans="1:41">
      <c r="A7" s="6" t="s">
        <v>146</v>
      </c>
      <c r="C7" t="s">
        <v>413</v>
      </c>
      <c r="D7">
        <v>7.7744999999999997</v>
      </c>
      <c r="E7" t="s">
        <v>108</v>
      </c>
      <c r="G7" s="6" t="s">
        <v>146</v>
      </c>
      <c r="I7" t="s">
        <v>413</v>
      </c>
      <c r="J7">
        <v>175.2</v>
      </c>
      <c r="K7" t="s">
        <v>412</v>
      </c>
      <c r="M7" s="6" t="s">
        <v>146</v>
      </c>
      <c r="O7" t="s">
        <v>413</v>
      </c>
      <c r="P7">
        <v>175.2</v>
      </c>
      <c r="Q7" t="s">
        <v>412</v>
      </c>
      <c r="S7" s="6" t="s">
        <v>146</v>
      </c>
      <c r="U7" t="s">
        <v>413</v>
      </c>
      <c r="V7">
        <v>175.2</v>
      </c>
      <c r="W7" t="s">
        <v>412</v>
      </c>
      <c r="Y7" s="6" t="s">
        <v>146</v>
      </c>
      <c r="AA7" t="s">
        <v>413</v>
      </c>
      <c r="AB7" t="s">
        <v>10</v>
      </c>
      <c r="AC7" t="s">
        <v>383</v>
      </c>
      <c r="AE7" s="6" t="s">
        <v>146</v>
      </c>
      <c r="AG7" t="s">
        <v>413</v>
      </c>
      <c r="AH7">
        <v>0.80749999999999977</v>
      </c>
      <c r="AI7" t="s">
        <v>414</v>
      </c>
      <c r="AK7" s="6" t="s">
        <v>146</v>
      </c>
      <c r="AM7" t="s">
        <v>413</v>
      </c>
      <c r="AN7">
        <v>0.49875000000000003</v>
      </c>
      <c r="AO7" t="s">
        <v>414</v>
      </c>
    </row>
    <row r="8" spans="1:41">
      <c r="A8" s="6" t="s">
        <v>244</v>
      </c>
      <c r="C8" t="s">
        <v>245</v>
      </c>
      <c r="D8">
        <v>9.1979999999999991E-4</v>
      </c>
      <c r="E8" t="s">
        <v>414</v>
      </c>
      <c r="G8" s="6" t="s">
        <v>244</v>
      </c>
      <c r="I8" t="s">
        <v>245</v>
      </c>
      <c r="J8" t="s">
        <v>10</v>
      </c>
      <c r="K8" t="s">
        <v>383</v>
      </c>
      <c r="M8" s="6" t="s">
        <v>244</v>
      </c>
      <c r="O8" t="s">
        <v>245</v>
      </c>
      <c r="P8" t="s">
        <v>10</v>
      </c>
      <c r="Q8" t="s">
        <v>383</v>
      </c>
      <c r="S8" s="6" t="s">
        <v>244</v>
      </c>
      <c r="U8" t="s">
        <v>245</v>
      </c>
      <c r="V8" t="s">
        <v>10</v>
      </c>
      <c r="W8" t="s">
        <v>383</v>
      </c>
      <c r="Y8" s="6" t="s">
        <v>244</v>
      </c>
      <c r="AA8" t="s">
        <v>245</v>
      </c>
      <c r="AB8" t="s">
        <v>10</v>
      </c>
      <c r="AC8" t="s">
        <v>383</v>
      </c>
      <c r="AE8" s="6" t="s">
        <v>244</v>
      </c>
      <c r="AG8" t="s">
        <v>245</v>
      </c>
      <c r="AH8" t="s">
        <v>10</v>
      </c>
      <c r="AI8" t="s">
        <v>383</v>
      </c>
      <c r="AK8" s="6" t="s">
        <v>244</v>
      </c>
      <c r="AM8" t="s">
        <v>245</v>
      </c>
      <c r="AN8" t="s">
        <v>10</v>
      </c>
      <c r="AO8" t="s">
        <v>383</v>
      </c>
    </row>
    <row r="9" spans="1:41">
      <c r="A9" s="6" t="s">
        <v>131</v>
      </c>
      <c r="C9" t="s">
        <v>415</v>
      </c>
      <c r="D9">
        <v>45.858599999999996</v>
      </c>
      <c r="E9" t="s">
        <v>108</v>
      </c>
      <c r="G9" s="6" t="s">
        <v>131</v>
      </c>
      <c r="I9" t="s">
        <v>415</v>
      </c>
      <c r="J9">
        <v>51.683999999999997</v>
      </c>
      <c r="K9" t="s">
        <v>412</v>
      </c>
      <c r="M9" s="6" t="s">
        <v>131</v>
      </c>
      <c r="O9" t="s">
        <v>415</v>
      </c>
      <c r="P9">
        <v>51.683999999999997</v>
      </c>
      <c r="Q9" t="s">
        <v>412</v>
      </c>
      <c r="S9" s="6" t="s">
        <v>131</v>
      </c>
      <c r="U9" t="s">
        <v>415</v>
      </c>
      <c r="V9">
        <v>51.683999999999997</v>
      </c>
      <c r="W9" t="s">
        <v>412</v>
      </c>
      <c r="Y9" s="6" t="s">
        <v>131</v>
      </c>
      <c r="AA9" t="s">
        <v>415</v>
      </c>
      <c r="AB9" t="s">
        <v>10</v>
      </c>
      <c r="AC9" t="s">
        <v>383</v>
      </c>
      <c r="AE9" s="6" t="s">
        <v>131</v>
      </c>
      <c r="AG9" t="s">
        <v>415</v>
      </c>
      <c r="AH9">
        <v>3.7484999999999991</v>
      </c>
      <c r="AI9" t="s">
        <v>414</v>
      </c>
      <c r="AK9" s="6" t="s">
        <v>131</v>
      </c>
      <c r="AM9" t="s">
        <v>415</v>
      </c>
      <c r="AN9">
        <v>2.3152499999999998</v>
      </c>
      <c r="AO9" t="s">
        <v>414</v>
      </c>
    </row>
    <row r="10" spans="1:41">
      <c r="A10" s="6" t="s">
        <v>362</v>
      </c>
      <c r="D10">
        <v>0.32850000000000001</v>
      </c>
      <c r="E10" t="s">
        <v>108</v>
      </c>
      <c r="G10" s="6" t="s">
        <v>362</v>
      </c>
      <c r="J10">
        <v>15.768000000000004</v>
      </c>
      <c r="K10" t="s">
        <v>108</v>
      </c>
      <c r="M10" s="6" t="s">
        <v>362</v>
      </c>
      <c r="P10">
        <v>15.768000000000004</v>
      </c>
      <c r="Q10" t="s">
        <v>108</v>
      </c>
      <c r="S10" s="6" t="s">
        <v>362</v>
      </c>
      <c r="V10">
        <v>15.768000000000004</v>
      </c>
      <c r="W10" t="s">
        <v>108</v>
      </c>
      <c r="Y10" s="6" t="s">
        <v>362</v>
      </c>
      <c r="AB10">
        <v>9.757679903999998</v>
      </c>
      <c r="AC10" t="s">
        <v>108</v>
      </c>
      <c r="AE10" s="6" t="s">
        <v>362</v>
      </c>
      <c r="AH10">
        <v>0.23799999999999996</v>
      </c>
      <c r="AI10" t="s">
        <v>108</v>
      </c>
      <c r="AK10" s="6" t="s">
        <v>362</v>
      </c>
      <c r="AN10">
        <v>0.14699999999999999</v>
      </c>
      <c r="AO10" t="s">
        <v>108</v>
      </c>
    </row>
    <row r="11" spans="1:41">
      <c r="A11" s="6" t="s">
        <v>109</v>
      </c>
      <c r="D11">
        <v>0.47303999999999996</v>
      </c>
      <c r="E11" t="s">
        <v>414</v>
      </c>
      <c r="G11" s="6" t="s">
        <v>109</v>
      </c>
      <c r="J11">
        <v>4.9406400000000001</v>
      </c>
      <c r="K11" t="s">
        <v>414</v>
      </c>
      <c r="M11" s="6" t="s">
        <v>109</v>
      </c>
      <c r="P11">
        <v>4.9406400000000001</v>
      </c>
      <c r="Q11" t="s">
        <v>414</v>
      </c>
      <c r="S11" s="6" t="s">
        <v>109</v>
      </c>
      <c r="V11">
        <v>4.9406400000000001</v>
      </c>
      <c r="W11" t="s">
        <v>414</v>
      </c>
      <c r="Y11" s="6" t="s">
        <v>109</v>
      </c>
      <c r="AB11" t="s">
        <v>10</v>
      </c>
      <c r="AC11" t="s">
        <v>383</v>
      </c>
      <c r="AE11" s="6" t="s">
        <v>109</v>
      </c>
      <c r="AH11" t="s">
        <v>10</v>
      </c>
      <c r="AI11" t="s">
        <v>383</v>
      </c>
      <c r="AK11" s="6" t="s">
        <v>109</v>
      </c>
      <c r="AN11" t="s">
        <v>10</v>
      </c>
      <c r="AO11" t="s">
        <v>383</v>
      </c>
    </row>
    <row r="12" spans="1:41">
      <c r="A12" s="6" t="s">
        <v>330</v>
      </c>
      <c r="D12">
        <v>0.32850000000000001</v>
      </c>
      <c r="E12" t="s">
        <v>108</v>
      </c>
      <c r="G12" s="6" t="s">
        <v>330</v>
      </c>
      <c r="J12">
        <v>15.768000000000004</v>
      </c>
      <c r="K12" t="s">
        <v>108</v>
      </c>
      <c r="M12" s="6" t="s">
        <v>330</v>
      </c>
      <c r="P12">
        <v>15.768000000000004</v>
      </c>
      <c r="Q12" t="s">
        <v>108</v>
      </c>
      <c r="S12" s="6" t="s">
        <v>330</v>
      </c>
      <c r="V12">
        <v>15.768000000000004</v>
      </c>
      <c r="W12" t="s">
        <v>108</v>
      </c>
      <c r="Y12" s="6" t="s">
        <v>330</v>
      </c>
      <c r="AB12">
        <v>9.757679903999998</v>
      </c>
      <c r="AC12" t="s">
        <v>108</v>
      </c>
      <c r="AE12" s="6" t="s">
        <v>330</v>
      </c>
      <c r="AH12">
        <v>0.23799999999999996</v>
      </c>
      <c r="AI12" t="s">
        <v>108</v>
      </c>
      <c r="AK12" s="6" t="s">
        <v>330</v>
      </c>
      <c r="AN12">
        <v>0.14699999999999999</v>
      </c>
      <c r="AO12" t="s">
        <v>108</v>
      </c>
    </row>
    <row r="13" spans="1:41">
      <c r="A13" s="6" t="s">
        <v>377</v>
      </c>
      <c r="D13">
        <v>0.32850000000000001</v>
      </c>
      <c r="E13" t="s">
        <v>416</v>
      </c>
      <c r="G13" s="6" t="s">
        <v>377</v>
      </c>
      <c r="J13">
        <v>15.768000000000004</v>
      </c>
      <c r="K13" t="s">
        <v>416</v>
      </c>
      <c r="M13" s="6" t="s">
        <v>377</v>
      </c>
      <c r="P13">
        <v>15.768000000000004</v>
      </c>
      <c r="Q13" t="s">
        <v>416</v>
      </c>
      <c r="S13" s="6" t="s">
        <v>377</v>
      </c>
      <c r="V13">
        <v>15.768000000000004</v>
      </c>
      <c r="W13" t="s">
        <v>416</v>
      </c>
      <c r="Y13" s="6" t="s">
        <v>377</v>
      </c>
      <c r="AB13">
        <v>9.757679903999998</v>
      </c>
      <c r="AC13" t="s">
        <v>416</v>
      </c>
      <c r="AE13" s="6" t="s">
        <v>377</v>
      </c>
      <c r="AH13">
        <v>0.23799999999999996</v>
      </c>
      <c r="AI13" t="s">
        <v>383</v>
      </c>
      <c r="AK13" s="6" t="s">
        <v>377</v>
      </c>
      <c r="AN13">
        <v>0.14699999999999999</v>
      </c>
      <c r="AO13" t="s">
        <v>383</v>
      </c>
    </row>
    <row r="14" spans="1:41">
      <c r="A14" s="6" t="s">
        <v>417</v>
      </c>
      <c r="C14" t="s">
        <v>418</v>
      </c>
      <c r="D14">
        <v>13.797000000000001</v>
      </c>
      <c r="E14" t="s">
        <v>108</v>
      </c>
      <c r="G14" s="6" t="s">
        <v>417</v>
      </c>
      <c r="I14" t="s">
        <v>418</v>
      </c>
      <c r="J14">
        <v>3.0064320000000007</v>
      </c>
      <c r="K14" t="s">
        <v>108</v>
      </c>
      <c r="M14" s="6" t="s">
        <v>417</v>
      </c>
      <c r="O14" t="s">
        <v>418</v>
      </c>
      <c r="P14">
        <v>3.0064320000000007</v>
      </c>
      <c r="Q14" t="s">
        <v>108</v>
      </c>
      <c r="S14" s="6" t="s">
        <v>417</v>
      </c>
      <c r="U14" t="s">
        <v>418</v>
      </c>
      <c r="V14">
        <v>3.0064320000000007</v>
      </c>
      <c r="W14" t="s">
        <v>108</v>
      </c>
      <c r="Y14" s="6" t="s">
        <v>417</v>
      </c>
      <c r="AA14" t="s">
        <v>418</v>
      </c>
      <c r="AB14" t="s">
        <v>10</v>
      </c>
      <c r="AC14" t="s">
        <v>383</v>
      </c>
      <c r="AE14" s="6" t="s">
        <v>417</v>
      </c>
      <c r="AG14" t="s">
        <v>418</v>
      </c>
      <c r="AH14">
        <v>1.3909090909090904E-3</v>
      </c>
      <c r="AI14" t="s">
        <v>419</v>
      </c>
      <c r="AK14" s="6" t="s">
        <v>417</v>
      </c>
      <c r="AM14" t="s">
        <v>418</v>
      </c>
      <c r="AN14">
        <v>8.5909090909090907E-4</v>
      </c>
      <c r="AO14" t="s">
        <v>419</v>
      </c>
    </row>
    <row r="15" spans="1:41">
      <c r="A15" s="6" t="s">
        <v>135</v>
      </c>
      <c r="D15">
        <v>2.01918</v>
      </c>
      <c r="E15" t="s">
        <v>108</v>
      </c>
      <c r="G15" s="6" t="s">
        <v>135</v>
      </c>
      <c r="J15">
        <v>13.14</v>
      </c>
      <c r="K15" t="s">
        <v>412</v>
      </c>
      <c r="M15" s="6" t="s">
        <v>135</v>
      </c>
      <c r="P15">
        <v>13.14</v>
      </c>
      <c r="Q15" t="s">
        <v>412</v>
      </c>
      <c r="S15" s="6" t="s">
        <v>135</v>
      </c>
      <c r="V15">
        <v>13.14</v>
      </c>
      <c r="W15" t="s">
        <v>412</v>
      </c>
      <c r="Y15" s="6" t="s">
        <v>135</v>
      </c>
      <c r="AB15" t="s">
        <v>10</v>
      </c>
      <c r="AC15" t="s">
        <v>383</v>
      </c>
      <c r="AE15" s="6" t="s">
        <v>135</v>
      </c>
      <c r="AH15">
        <v>0.30599999999999988</v>
      </c>
      <c r="AI15" t="s">
        <v>414</v>
      </c>
      <c r="AK15" s="6" t="s">
        <v>135</v>
      </c>
      <c r="AN15">
        <v>0.189</v>
      </c>
      <c r="AO15" t="s">
        <v>414</v>
      </c>
    </row>
    <row r="16" spans="1:41">
      <c r="A16" s="6" t="s">
        <v>148</v>
      </c>
      <c r="B16" t="s">
        <v>135</v>
      </c>
      <c r="C16" t="s">
        <v>149</v>
      </c>
      <c r="D16">
        <v>1.0512E-3</v>
      </c>
      <c r="E16" t="s">
        <v>414</v>
      </c>
      <c r="G16" s="6" t="s">
        <v>148</v>
      </c>
      <c r="H16" t="s">
        <v>135</v>
      </c>
      <c r="I16" t="s">
        <v>149</v>
      </c>
      <c r="J16">
        <v>4.5201600000000013E-4</v>
      </c>
      <c r="K16" t="s">
        <v>414</v>
      </c>
      <c r="M16" s="6" t="s">
        <v>148</v>
      </c>
      <c r="N16" t="s">
        <v>135</v>
      </c>
      <c r="O16" t="s">
        <v>149</v>
      </c>
      <c r="P16">
        <v>4.5201600000000013E-4</v>
      </c>
      <c r="Q16" t="s">
        <v>414</v>
      </c>
      <c r="S16" s="6" t="s">
        <v>148</v>
      </c>
      <c r="T16" t="s">
        <v>135</v>
      </c>
      <c r="U16" t="s">
        <v>149</v>
      </c>
      <c r="V16">
        <v>4.5201600000000013E-4</v>
      </c>
      <c r="W16" t="s">
        <v>414</v>
      </c>
      <c r="Y16" s="6" t="s">
        <v>148</v>
      </c>
      <c r="Z16" t="s">
        <v>135</v>
      </c>
      <c r="AA16" t="s">
        <v>149</v>
      </c>
      <c r="AB16" t="s">
        <v>10</v>
      </c>
      <c r="AC16" t="s">
        <v>383</v>
      </c>
      <c r="AE16" s="6" t="s">
        <v>148</v>
      </c>
      <c r="AF16" t="s">
        <v>135</v>
      </c>
      <c r="AG16" t="s">
        <v>149</v>
      </c>
      <c r="AH16">
        <v>3.3234999999999996E-5</v>
      </c>
      <c r="AI16" t="s">
        <v>414</v>
      </c>
      <c r="AK16" s="6" t="s">
        <v>148</v>
      </c>
      <c r="AL16" t="s">
        <v>135</v>
      </c>
      <c r="AM16" t="s">
        <v>149</v>
      </c>
      <c r="AN16">
        <v>2.05275E-5</v>
      </c>
      <c r="AO16" t="s">
        <v>414</v>
      </c>
    </row>
    <row r="17" spans="1:41">
      <c r="A17" s="6" t="s">
        <v>152</v>
      </c>
      <c r="B17" t="s">
        <v>135</v>
      </c>
      <c r="C17" t="s">
        <v>153</v>
      </c>
      <c r="D17" t="s">
        <v>10</v>
      </c>
      <c r="E17" t="s">
        <v>383</v>
      </c>
      <c r="G17" s="6" t="s">
        <v>152</v>
      </c>
      <c r="H17" t="s">
        <v>135</v>
      </c>
      <c r="I17" t="s">
        <v>153</v>
      </c>
      <c r="J17" t="s">
        <v>10</v>
      </c>
      <c r="K17" t="s">
        <v>383</v>
      </c>
      <c r="M17" s="6" t="s">
        <v>152</v>
      </c>
      <c r="N17" t="s">
        <v>135</v>
      </c>
      <c r="O17" t="s">
        <v>153</v>
      </c>
      <c r="P17" t="s">
        <v>10</v>
      </c>
      <c r="Q17" t="s">
        <v>383</v>
      </c>
      <c r="S17" s="6" t="s">
        <v>152</v>
      </c>
      <c r="T17" t="s">
        <v>135</v>
      </c>
      <c r="U17" t="s">
        <v>153</v>
      </c>
      <c r="V17" t="s">
        <v>10</v>
      </c>
      <c r="W17" t="s">
        <v>383</v>
      </c>
      <c r="Y17" s="6" t="s">
        <v>152</v>
      </c>
      <c r="Z17" t="s">
        <v>135</v>
      </c>
      <c r="AA17" t="s">
        <v>153</v>
      </c>
      <c r="AB17" t="s">
        <v>10</v>
      </c>
      <c r="AC17" t="s">
        <v>383</v>
      </c>
      <c r="AE17" s="6" t="s">
        <v>152</v>
      </c>
      <c r="AF17" t="s">
        <v>135</v>
      </c>
      <c r="AG17" t="s">
        <v>153</v>
      </c>
      <c r="AH17" t="s">
        <v>10</v>
      </c>
      <c r="AI17" t="s">
        <v>383</v>
      </c>
      <c r="AK17" s="6" t="s">
        <v>152</v>
      </c>
      <c r="AL17" t="s">
        <v>135</v>
      </c>
      <c r="AM17" t="s">
        <v>153</v>
      </c>
      <c r="AN17" t="s">
        <v>10</v>
      </c>
      <c r="AO17" t="s">
        <v>383</v>
      </c>
    </row>
    <row r="18" spans="1:41">
      <c r="A18" s="6" t="s">
        <v>420</v>
      </c>
      <c r="C18" t="s">
        <v>421</v>
      </c>
      <c r="D18" t="s">
        <v>10</v>
      </c>
      <c r="E18" t="s">
        <v>383</v>
      </c>
      <c r="G18" s="6" t="s">
        <v>420</v>
      </c>
      <c r="I18" t="s">
        <v>421</v>
      </c>
      <c r="J18" t="s">
        <v>10</v>
      </c>
      <c r="K18" t="s">
        <v>383</v>
      </c>
      <c r="M18" s="6" t="s">
        <v>420</v>
      </c>
      <c r="O18" t="s">
        <v>421</v>
      </c>
      <c r="P18" t="s">
        <v>10</v>
      </c>
      <c r="Q18" t="s">
        <v>383</v>
      </c>
      <c r="S18" s="6" t="s">
        <v>420</v>
      </c>
      <c r="U18" t="s">
        <v>421</v>
      </c>
      <c r="V18" t="s">
        <v>10</v>
      </c>
      <c r="W18" t="s">
        <v>383</v>
      </c>
      <c r="Y18" s="6" t="s">
        <v>420</v>
      </c>
      <c r="AA18" t="s">
        <v>421</v>
      </c>
      <c r="AB18" t="s">
        <v>10</v>
      </c>
      <c r="AC18" t="s">
        <v>383</v>
      </c>
      <c r="AE18" s="6" t="s">
        <v>420</v>
      </c>
      <c r="AG18" t="s">
        <v>421</v>
      </c>
      <c r="AH18" t="s">
        <v>10</v>
      </c>
      <c r="AI18" t="s">
        <v>383</v>
      </c>
      <c r="AK18" s="6" t="s">
        <v>420</v>
      </c>
      <c r="AM18" t="s">
        <v>421</v>
      </c>
      <c r="AN18" t="s">
        <v>10</v>
      </c>
      <c r="AO18" t="s">
        <v>383</v>
      </c>
    </row>
    <row r="19" spans="1:41">
      <c r="A19" s="6" t="s">
        <v>156</v>
      </c>
      <c r="B19" t="s">
        <v>135</v>
      </c>
      <c r="C19" t="s">
        <v>157</v>
      </c>
      <c r="D19" t="s">
        <v>10</v>
      </c>
      <c r="E19" t="s">
        <v>383</v>
      </c>
      <c r="G19" s="6" t="s">
        <v>156</v>
      </c>
      <c r="H19" t="s">
        <v>135</v>
      </c>
      <c r="I19" t="s">
        <v>157</v>
      </c>
      <c r="J19" t="s">
        <v>10</v>
      </c>
      <c r="K19" t="s">
        <v>383</v>
      </c>
      <c r="M19" s="6" t="s">
        <v>156</v>
      </c>
      <c r="N19" t="s">
        <v>135</v>
      </c>
      <c r="O19" t="s">
        <v>157</v>
      </c>
      <c r="P19" t="s">
        <v>10</v>
      </c>
      <c r="Q19" t="s">
        <v>383</v>
      </c>
      <c r="S19" s="6" t="s">
        <v>156</v>
      </c>
      <c r="T19" t="s">
        <v>135</v>
      </c>
      <c r="U19" t="s">
        <v>157</v>
      </c>
      <c r="V19" t="s">
        <v>10</v>
      </c>
      <c r="W19" t="s">
        <v>383</v>
      </c>
      <c r="Y19" s="6" t="s">
        <v>156</v>
      </c>
      <c r="Z19" t="s">
        <v>135</v>
      </c>
      <c r="AA19" t="s">
        <v>157</v>
      </c>
      <c r="AB19" t="s">
        <v>10</v>
      </c>
      <c r="AC19" t="s">
        <v>383</v>
      </c>
      <c r="AE19" s="6" t="s">
        <v>156</v>
      </c>
      <c r="AF19" t="s">
        <v>135</v>
      </c>
      <c r="AG19" t="s">
        <v>157</v>
      </c>
      <c r="AH19" t="s">
        <v>10</v>
      </c>
      <c r="AI19" t="s">
        <v>383</v>
      </c>
      <c r="AK19" s="6" t="s">
        <v>156</v>
      </c>
      <c r="AL19" t="s">
        <v>135</v>
      </c>
      <c r="AM19" t="s">
        <v>157</v>
      </c>
      <c r="AN19" t="s">
        <v>10</v>
      </c>
      <c r="AO19" t="s">
        <v>383</v>
      </c>
    </row>
    <row r="20" spans="1:41">
      <c r="A20" s="6" t="s">
        <v>161</v>
      </c>
      <c r="B20" t="s">
        <v>135</v>
      </c>
      <c r="C20" t="s">
        <v>162</v>
      </c>
      <c r="D20" t="s">
        <v>10</v>
      </c>
      <c r="E20" t="s">
        <v>383</v>
      </c>
      <c r="G20" s="6" t="s">
        <v>161</v>
      </c>
      <c r="H20" t="s">
        <v>135</v>
      </c>
      <c r="I20" t="s">
        <v>162</v>
      </c>
      <c r="J20" t="s">
        <v>10</v>
      </c>
      <c r="K20" t="s">
        <v>383</v>
      </c>
      <c r="M20" s="6" t="s">
        <v>161</v>
      </c>
      <c r="N20" t="s">
        <v>135</v>
      </c>
      <c r="O20" t="s">
        <v>162</v>
      </c>
      <c r="P20" t="s">
        <v>10</v>
      </c>
      <c r="Q20" t="s">
        <v>383</v>
      </c>
      <c r="S20" s="6" t="s">
        <v>161</v>
      </c>
      <c r="T20" t="s">
        <v>135</v>
      </c>
      <c r="U20" t="s">
        <v>162</v>
      </c>
      <c r="V20" t="s">
        <v>10</v>
      </c>
      <c r="W20" t="s">
        <v>383</v>
      </c>
      <c r="Y20" s="6" t="s">
        <v>161</v>
      </c>
      <c r="Z20" t="s">
        <v>135</v>
      </c>
      <c r="AA20" t="s">
        <v>162</v>
      </c>
      <c r="AB20" t="s">
        <v>10</v>
      </c>
      <c r="AC20" t="s">
        <v>383</v>
      </c>
      <c r="AE20" s="6" t="s">
        <v>161</v>
      </c>
      <c r="AF20" t="s">
        <v>135</v>
      </c>
      <c r="AG20" t="s">
        <v>162</v>
      </c>
      <c r="AH20" t="s">
        <v>10</v>
      </c>
      <c r="AI20" t="s">
        <v>383</v>
      </c>
      <c r="AK20" s="6" t="s">
        <v>161</v>
      </c>
      <c r="AL20" t="s">
        <v>135</v>
      </c>
      <c r="AM20" t="s">
        <v>162</v>
      </c>
      <c r="AN20" t="s">
        <v>10</v>
      </c>
      <c r="AO20" t="s">
        <v>383</v>
      </c>
    </row>
    <row r="21" spans="1:41">
      <c r="A21" s="6" t="s">
        <v>163</v>
      </c>
      <c r="B21" t="s">
        <v>135</v>
      </c>
      <c r="C21" t="s">
        <v>164</v>
      </c>
      <c r="D21" t="s">
        <v>10</v>
      </c>
      <c r="E21" t="s">
        <v>383</v>
      </c>
      <c r="G21" s="6" t="s">
        <v>163</v>
      </c>
      <c r="H21" t="s">
        <v>135</v>
      </c>
      <c r="I21" t="s">
        <v>164</v>
      </c>
      <c r="J21" t="s">
        <v>10</v>
      </c>
      <c r="K21" t="s">
        <v>383</v>
      </c>
      <c r="M21" s="6" t="s">
        <v>163</v>
      </c>
      <c r="N21" t="s">
        <v>135</v>
      </c>
      <c r="O21" t="s">
        <v>164</v>
      </c>
      <c r="P21" t="s">
        <v>10</v>
      </c>
      <c r="Q21" t="s">
        <v>383</v>
      </c>
      <c r="S21" s="6" t="s">
        <v>163</v>
      </c>
      <c r="T21" t="s">
        <v>135</v>
      </c>
      <c r="U21" t="s">
        <v>164</v>
      </c>
      <c r="V21" t="s">
        <v>10</v>
      </c>
      <c r="W21" t="s">
        <v>383</v>
      </c>
      <c r="Y21" s="6" t="s">
        <v>163</v>
      </c>
      <c r="Z21" t="s">
        <v>135</v>
      </c>
      <c r="AA21" t="s">
        <v>164</v>
      </c>
      <c r="AB21" t="s">
        <v>10</v>
      </c>
      <c r="AC21" t="s">
        <v>383</v>
      </c>
      <c r="AE21" s="6" t="s">
        <v>163</v>
      </c>
      <c r="AF21" t="s">
        <v>135</v>
      </c>
      <c r="AG21" t="s">
        <v>164</v>
      </c>
      <c r="AH21" t="s">
        <v>10</v>
      </c>
      <c r="AI21" t="s">
        <v>383</v>
      </c>
      <c r="AK21" s="6" t="s">
        <v>163</v>
      </c>
      <c r="AL21" t="s">
        <v>135</v>
      </c>
      <c r="AM21" t="s">
        <v>164</v>
      </c>
      <c r="AN21" t="s">
        <v>10</v>
      </c>
      <c r="AO21" t="s">
        <v>383</v>
      </c>
    </row>
    <row r="22" spans="1:41">
      <c r="A22" s="6" t="s">
        <v>166</v>
      </c>
      <c r="B22" t="s">
        <v>135</v>
      </c>
      <c r="C22" t="s">
        <v>167</v>
      </c>
      <c r="D22" t="s">
        <v>10</v>
      </c>
      <c r="E22" t="s">
        <v>383</v>
      </c>
      <c r="G22" s="6" t="s">
        <v>166</v>
      </c>
      <c r="H22" t="s">
        <v>135</v>
      </c>
      <c r="I22" t="s">
        <v>167</v>
      </c>
      <c r="J22">
        <v>4.2048000000000016E-2</v>
      </c>
      <c r="K22" t="s">
        <v>414</v>
      </c>
      <c r="M22" s="6" t="s">
        <v>166</v>
      </c>
      <c r="N22" t="s">
        <v>135</v>
      </c>
      <c r="O22" t="s">
        <v>167</v>
      </c>
      <c r="P22">
        <v>4.2048000000000016E-2</v>
      </c>
      <c r="Q22" t="s">
        <v>414</v>
      </c>
      <c r="S22" s="6" t="s">
        <v>166</v>
      </c>
      <c r="T22" t="s">
        <v>135</v>
      </c>
      <c r="U22" t="s">
        <v>167</v>
      </c>
      <c r="V22">
        <v>4.2048000000000016E-2</v>
      </c>
      <c r="W22" t="s">
        <v>414</v>
      </c>
      <c r="Y22" s="6" t="s">
        <v>166</v>
      </c>
      <c r="Z22" t="s">
        <v>135</v>
      </c>
      <c r="AA22" t="s">
        <v>167</v>
      </c>
      <c r="AB22" t="s">
        <v>10</v>
      </c>
      <c r="AC22" t="s">
        <v>383</v>
      </c>
      <c r="AE22" s="6" t="s">
        <v>166</v>
      </c>
      <c r="AF22" t="s">
        <v>135</v>
      </c>
      <c r="AG22" t="s">
        <v>167</v>
      </c>
      <c r="AH22">
        <v>6.5194999999999977E-4</v>
      </c>
      <c r="AI22" t="s">
        <v>414</v>
      </c>
      <c r="AK22" s="6" t="s">
        <v>166</v>
      </c>
      <c r="AL22" t="s">
        <v>135</v>
      </c>
      <c r="AM22" t="s">
        <v>167</v>
      </c>
      <c r="AN22">
        <v>4.0267500000000002E-4</v>
      </c>
      <c r="AO22" t="s">
        <v>414</v>
      </c>
    </row>
    <row r="23" spans="1:41">
      <c r="A23" s="6" t="s">
        <v>171</v>
      </c>
      <c r="B23" t="s">
        <v>135</v>
      </c>
      <c r="C23" t="s">
        <v>172</v>
      </c>
      <c r="D23" t="s">
        <v>10</v>
      </c>
      <c r="E23" t="s">
        <v>383</v>
      </c>
      <c r="G23" s="6" t="s">
        <v>171</v>
      </c>
      <c r="H23" t="s">
        <v>135</v>
      </c>
      <c r="I23" t="s">
        <v>172</v>
      </c>
      <c r="J23" t="s">
        <v>10</v>
      </c>
      <c r="K23" t="s">
        <v>383</v>
      </c>
      <c r="M23" s="6" t="s">
        <v>171</v>
      </c>
      <c r="N23" t="s">
        <v>135</v>
      </c>
      <c r="O23" t="s">
        <v>172</v>
      </c>
      <c r="P23" t="s">
        <v>10</v>
      </c>
      <c r="Q23" t="s">
        <v>383</v>
      </c>
      <c r="S23" s="6" t="s">
        <v>171</v>
      </c>
      <c r="T23" t="s">
        <v>135</v>
      </c>
      <c r="U23" t="s">
        <v>172</v>
      </c>
      <c r="V23" t="s">
        <v>10</v>
      </c>
      <c r="W23" t="s">
        <v>383</v>
      </c>
      <c r="Y23" s="6" t="s">
        <v>171</v>
      </c>
      <c r="Z23" t="s">
        <v>135</v>
      </c>
      <c r="AA23" t="s">
        <v>172</v>
      </c>
      <c r="AB23" t="s">
        <v>10</v>
      </c>
      <c r="AC23" t="s">
        <v>383</v>
      </c>
      <c r="AE23" s="6" t="s">
        <v>171</v>
      </c>
      <c r="AF23" t="s">
        <v>135</v>
      </c>
      <c r="AG23" t="s">
        <v>172</v>
      </c>
      <c r="AH23" t="s">
        <v>10</v>
      </c>
      <c r="AI23" t="s">
        <v>383</v>
      </c>
      <c r="AK23" s="6" t="s">
        <v>171</v>
      </c>
      <c r="AL23" t="s">
        <v>135</v>
      </c>
      <c r="AM23" t="s">
        <v>172</v>
      </c>
      <c r="AN23" t="s">
        <v>10</v>
      </c>
      <c r="AO23" t="s">
        <v>383</v>
      </c>
    </row>
    <row r="24" spans="1:41">
      <c r="A24" s="6" t="s">
        <v>174</v>
      </c>
      <c r="B24" t="s">
        <v>135</v>
      </c>
      <c r="C24" t="s">
        <v>175</v>
      </c>
      <c r="D24" t="s">
        <v>10</v>
      </c>
      <c r="E24" t="s">
        <v>383</v>
      </c>
      <c r="G24" s="6" t="s">
        <v>174</v>
      </c>
      <c r="H24" t="s">
        <v>135</v>
      </c>
      <c r="I24" t="s">
        <v>175</v>
      </c>
      <c r="J24">
        <v>6.7276800000000015E-3</v>
      </c>
      <c r="K24" t="s">
        <v>414</v>
      </c>
      <c r="M24" s="6" t="s">
        <v>174</v>
      </c>
      <c r="N24" t="s">
        <v>135</v>
      </c>
      <c r="O24" t="s">
        <v>175</v>
      </c>
      <c r="P24">
        <v>6.7276800000000015E-3</v>
      </c>
      <c r="Q24" t="s">
        <v>414</v>
      </c>
      <c r="S24" s="6" t="s">
        <v>174</v>
      </c>
      <c r="T24" t="s">
        <v>135</v>
      </c>
      <c r="U24" t="s">
        <v>175</v>
      </c>
      <c r="V24">
        <v>6.7276800000000015E-3</v>
      </c>
      <c r="W24" t="s">
        <v>414</v>
      </c>
      <c r="Y24" s="6" t="s">
        <v>174</v>
      </c>
      <c r="Z24" t="s">
        <v>135</v>
      </c>
      <c r="AA24" t="s">
        <v>175</v>
      </c>
      <c r="AB24" t="s">
        <v>10</v>
      </c>
      <c r="AC24" t="s">
        <v>383</v>
      </c>
      <c r="AE24" s="6" t="s">
        <v>174</v>
      </c>
      <c r="AF24" t="s">
        <v>135</v>
      </c>
      <c r="AG24" t="s">
        <v>175</v>
      </c>
      <c r="AH24">
        <v>7.8624999999999973E-5</v>
      </c>
      <c r="AI24" t="s">
        <v>414</v>
      </c>
      <c r="AK24" s="6" t="s">
        <v>174</v>
      </c>
      <c r="AL24" t="s">
        <v>135</v>
      </c>
      <c r="AM24" t="s">
        <v>175</v>
      </c>
      <c r="AN24">
        <v>4.8562500000000001E-5</v>
      </c>
      <c r="AO24" t="s">
        <v>414</v>
      </c>
    </row>
    <row r="25" spans="1:41">
      <c r="A25" s="6" t="s">
        <v>177</v>
      </c>
      <c r="B25" t="s">
        <v>362</v>
      </c>
      <c r="C25" t="s">
        <v>178</v>
      </c>
      <c r="D25" t="s">
        <v>10</v>
      </c>
      <c r="E25" t="s">
        <v>383</v>
      </c>
      <c r="G25" s="6" t="s">
        <v>177</v>
      </c>
      <c r="H25" t="s">
        <v>362</v>
      </c>
      <c r="I25" t="s">
        <v>178</v>
      </c>
      <c r="J25" t="s">
        <v>10</v>
      </c>
      <c r="K25" t="s">
        <v>383</v>
      </c>
      <c r="M25" s="6" t="s">
        <v>177</v>
      </c>
      <c r="N25" t="s">
        <v>362</v>
      </c>
      <c r="O25" t="s">
        <v>178</v>
      </c>
      <c r="P25" t="s">
        <v>10</v>
      </c>
      <c r="Q25" t="s">
        <v>383</v>
      </c>
      <c r="S25" s="6" t="s">
        <v>177</v>
      </c>
      <c r="T25" t="s">
        <v>362</v>
      </c>
      <c r="U25" t="s">
        <v>178</v>
      </c>
      <c r="V25" t="s">
        <v>10</v>
      </c>
      <c r="W25" t="s">
        <v>383</v>
      </c>
      <c r="Y25" s="6" t="s">
        <v>177</v>
      </c>
      <c r="Z25" t="s">
        <v>362</v>
      </c>
      <c r="AA25" t="s">
        <v>178</v>
      </c>
      <c r="AB25" t="s">
        <v>10</v>
      </c>
      <c r="AC25" t="s">
        <v>383</v>
      </c>
      <c r="AE25" s="6" t="s">
        <v>177</v>
      </c>
      <c r="AF25" t="s">
        <v>362</v>
      </c>
      <c r="AG25" t="s">
        <v>178</v>
      </c>
      <c r="AH25" t="s">
        <v>10</v>
      </c>
      <c r="AI25" t="s">
        <v>383</v>
      </c>
      <c r="AK25" s="6" t="s">
        <v>177</v>
      </c>
      <c r="AL25" t="s">
        <v>362</v>
      </c>
      <c r="AM25" t="s">
        <v>178</v>
      </c>
      <c r="AN25" t="s">
        <v>10</v>
      </c>
      <c r="AO25" t="s">
        <v>383</v>
      </c>
    </row>
    <row r="26" spans="1:41">
      <c r="A26" s="6" t="s">
        <v>180</v>
      </c>
      <c r="B26" t="s">
        <v>362</v>
      </c>
      <c r="C26" t="s">
        <v>181</v>
      </c>
      <c r="D26">
        <v>7.2270000000000006E-4</v>
      </c>
      <c r="E26" t="s">
        <v>414</v>
      </c>
      <c r="G26" s="6" t="s">
        <v>180</v>
      </c>
      <c r="H26" t="s">
        <v>362</v>
      </c>
      <c r="I26" t="s">
        <v>181</v>
      </c>
      <c r="J26" t="s">
        <v>10</v>
      </c>
      <c r="K26" t="s">
        <v>383</v>
      </c>
      <c r="M26" s="6" t="s">
        <v>180</v>
      </c>
      <c r="N26" t="s">
        <v>362</v>
      </c>
      <c r="O26" t="s">
        <v>181</v>
      </c>
      <c r="P26" t="s">
        <v>10</v>
      </c>
      <c r="Q26" t="s">
        <v>383</v>
      </c>
      <c r="S26" s="6" t="s">
        <v>180</v>
      </c>
      <c r="T26" t="s">
        <v>362</v>
      </c>
      <c r="U26" t="s">
        <v>181</v>
      </c>
      <c r="V26" t="s">
        <v>10</v>
      </c>
      <c r="W26" t="s">
        <v>383</v>
      </c>
      <c r="Y26" s="6" t="s">
        <v>180</v>
      </c>
      <c r="Z26" t="s">
        <v>362</v>
      </c>
      <c r="AA26" t="s">
        <v>181</v>
      </c>
      <c r="AB26" t="s">
        <v>10</v>
      </c>
      <c r="AC26" t="s">
        <v>383</v>
      </c>
      <c r="AE26" s="6" t="s">
        <v>180</v>
      </c>
      <c r="AF26" t="s">
        <v>362</v>
      </c>
      <c r="AG26" t="s">
        <v>181</v>
      </c>
      <c r="AH26" t="s">
        <v>10</v>
      </c>
      <c r="AI26" t="s">
        <v>383</v>
      </c>
      <c r="AK26" s="6" t="s">
        <v>180</v>
      </c>
      <c r="AL26" t="s">
        <v>362</v>
      </c>
      <c r="AM26" t="s">
        <v>181</v>
      </c>
      <c r="AN26" t="s">
        <v>10</v>
      </c>
      <c r="AO26" t="s">
        <v>383</v>
      </c>
    </row>
    <row r="27" spans="1:41">
      <c r="A27" s="6" t="s">
        <v>182</v>
      </c>
      <c r="B27" t="s">
        <v>135</v>
      </c>
      <c r="C27" t="s">
        <v>157</v>
      </c>
      <c r="D27">
        <v>3.6135E-3</v>
      </c>
      <c r="E27" t="s">
        <v>414</v>
      </c>
      <c r="G27" s="6" t="s">
        <v>182</v>
      </c>
      <c r="H27" t="s">
        <v>135</v>
      </c>
      <c r="I27" t="s">
        <v>157</v>
      </c>
      <c r="J27">
        <v>1.2614400000000003E-2</v>
      </c>
      <c r="K27" t="s">
        <v>414</v>
      </c>
      <c r="M27" s="6" t="s">
        <v>182</v>
      </c>
      <c r="N27" t="s">
        <v>135</v>
      </c>
      <c r="O27" t="s">
        <v>157</v>
      </c>
      <c r="P27">
        <v>1.2614400000000003E-2</v>
      </c>
      <c r="Q27" t="s">
        <v>414</v>
      </c>
      <c r="S27" s="6" t="s">
        <v>182</v>
      </c>
      <c r="T27" t="s">
        <v>135</v>
      </c>
      <c r="U27" t="s">
        <v>157</v>
      </c>
      <c r="V27">
        <v>1.2614400000000003E-2</v>
      </c>
      <c r="W27" t="s">
        <v>414</v>
      </c>
      <c r="Y27" s="6" t="s">
        <v>182</v>
      </c>
      <c r="Z27" t="s">
        <v>135</v>
      </c>
      <c r="AA27" t="s">
        <v>157</v>
      </c>
      <c r="AB27" t="s">
        <v>10</v>
      </c>
      <c r="AC27" t="s">
        <v>383</v>
      </c>
      <c r="AE27" s="6" t="s">
        <v>182</v>
      </c>
      <c r="AF27" t="s">
        <v>135</v>
      </c>
      <c r="AG27" t="s">
        <v>157</v>
      </c>
      <c r="AH27">
        <v>7.9304999999999979E-4</v>
      </c>
      <c r="AI27" t="s">
        <v>414</v>
      </c>
      <c r="AK27" s="6" t="s">
        <v>182</v>
      </c>
      <c r="AL27" t="s">
        <v>135</v>
      </c>
      <c r="AM27" t="s">
        <v>157</v>
      </c>
      <c r="AN27">
        <v>4.8982500000000005E-4</v>
      </c>
      <c r="AO27" t="s">
        <v>414</v>
      </c>
    </row>
    <row r="28" spans="1:41">
      <c r="A28" s="6" t="s">
        <v>183</v>
      </c>
      <c r="B28" t="s">
        <v>135</v>
      </c>
      <c r="C28" t="s">
        <v>184</v>
      </c>
      <c r="D28" t="s">
        <v>10</v>
      </c>
      <c r="E28" t="s">
        <v>383</v>
      </c>
      <c r="G28" s="6" t="s">
        <v>183</v>
      </c>
      <c r="H28" t="s">
        <v>135</v>
      </c>
      <c r="I28" t="s">
        <v>184</v>
      </c>
      <c r="J28" t="s">
        <v>10</v>
      </c>
      <c r="K28" t="s">
        <v>383</v>
      </c>
      <c r="M28" s="6" t="s">
        <v>183</v>
      </c>
      <c r="N28" t="s">
        <v>135</v>
      </c>
      <c r="O28" t="s">
        <v>184</v>
      </c>
      <c r="P28" t="s">
        <v>10</v>
      </c>
      <c r="Q28" t="s">
        <v>383</v>
      </c>
      <c r="S28" s="6" t="s">
        <v>183</v>
      </c>
      <c r="T28" t="s">
        <v>135</v>
      </c>
      <c r="U28" t="s">
        <v>184</v>
      </c>
      <c r="V28" t="s">
        <v>10</v>
      </c>
      <c r="W28" t="s">
        <v>383</v>
      </c>
      <c r="Y28" s="6" t="s">
        <v>183</v>
      </c>
      <c r="Z28" t="s">
        <v>135</v>
      </c>
      <c r="AA28" t="s">
        <v>184</v>
      </c>
      <c r="AB28" t="s">
        <v>10</v>
      </c>
      <c r="AC28" t="s">
        <v>383</v>
      </c>
      <c r="AE28" s="6" t="s">
        <v>183</v>
      </c>
      <c r="AF28" t="s">
        <v>135</v>
      </c>
      <c r="AG28" t="s">
        <v>184</v>
      </c>
      <c r="AH28" t="s">
        <v>10</v>
      </c>
      <c r="AI28" t="s">
        <v>383</v>
      </c>
      <c r="AK28" s="6" t="s">
        <v>183</v>
      </c>
      <c r="AL28" t="s">
        <v>135</v>
      </c>
      <c r="AM28" t="s">
        <v>184</v>
      </c>
      <c r="AN28" t="s">
        <v>10</v>
      </c>
      <c r="AO28" t="s">
        <v>383</v>
      </c>
    </row>
    <row r="29" spans="1:41">
      <c r="A29" s="6" t="s">
        <v>186</v>
      </c>
      <c r="B29" t="s">
        <v>362</v>
      </c>
      <c r="C29" t="s">
        <v>187</v>
      </c>
      <c r="D29">
        <v>2.0367E-5</v>
      </c>
      <c r="E29" t="s">
        <v>414</v>
      </c>
      <c r="G29" s="6" t="s">
        <v>186</v>
      </c>
      <c r="H29" t="s">
        <v>362</v>
      </c>
      <c r="I29" t="s">
        <v>187</v>
      </c>
      <c r="J29" t="s">
        <v>10</v>
      </c>
      <c r="K29" t="s">
        <v>383</v>
      </c>
      <c r="M29" s="6" t="s">
        <v>186</v>
      </c>
      <c r="N29" t="s">
        <v>362</v>
      </c>
      <c r="O29" t="s">
        <v>187</v>
      </c>
      <c r="P29" t="s">
        <v>10</v>
      </c>
      <c r="Q29" t="s">
        <v>383</v>
      </c>
      <c r="S29" s="6" t="s">
        <v>186</v>
      </c>
      <c r="T29" t="s">
        <v>362</v>
      </c>
      <c r="U29" t="s">
        <v>187</v>
      </c>
      <c r="V29" t="s">
        <v>10</v>
      </c>
      <c r="W29" t="s">
        <v>383</v>
      </c>
      <c r="Y29" s="6" t="s">
        <v>186</v>
      </c>
      <c r="Z29" t="s">
        <v>362</v>
      </c>
      <c r="AA29" t="s">
        <v>187</v>
      </c>
      <c r="AB29" t="s">
        <v>10</v>
      </c>
      <c r="AC29" t="s">
        <v>383</v>
      </c>
      <c r="AE29" s="6" t="s">
        <v>186</v>
      </c>
      <c r="AF29" t="s">
        <v>362</v>
      </c>
      <c r="AG29" t="s">
        <v>187</v>
      </c>
      <c r="AH29" t="s">
        <v>10</v>
      </c>
      <c r="AI29" t="s">
        <v>383</v>
      </c>
      <c r="AK29" s="6" t="s">
        <v>186</v>
      </c>
      <c r="AL29" t="s">
        <v>362</v>
      </c>
      <c r="AM29" t="s">
        <v>187</v>
      </c>
      <c r="AN29" t="s">
        <v>10</v>
      </c>
      <c r="AO29" t="s">
        <v>383</v>
      </c>
    </row>
    <row r="30" spans="1:41">
      <c r="A30" s="6" t="s">
        <v>190</v>
      </c>
      <c r="B30" t="s">
        <v>135</v>
      </c>
      <c r="C30" t="s">
        <v>191</v>
      </c>
      <c r="D30" t="s">
        <v>10</v>
      </c>
      <c r="E30" t="s">
        <v>383</v>
      </c>
      <c r="G30" s="6" t="s">
        <v>190</v>
      </c>
      <c r="H30" t="s">
        <v>135</v>
      </c>
      <c r="I30" t="s">
        <v>191</v>
      </c>
      <c r="J30" t="s">
        <v>10</v>
      </c>
      <c r="K30" t="s">
        <v>383</v>
      </c>
      <c r="M30" s="6" t="s">
        <v>190</v>
      </c>
      <c r="N30" t="s">
        <v>135</v>
      </c>
      <c r="O30" t="s">
        <v>191</v>
      </c>
      <c r="P30" t="s">
        <v>10</v>
      </c>
      <c r="Q30" t="s">
        <v>383</v>
      </c>
      <c r="S30" s="6" t="s">
        <v>190</v>
      </c>
      <c r="T30" t="s">
        <v>135</v>
      </c>
      <c r="U30" t="s">
        <v>191</v>
      </c>
      <c r="V30" t="s">
        <v>10</v>
      </c>
      <c r="W30" t="s">
        <v>383</v>
      </c>
      <c r="Y30" s="6" t="s">
        <v>190</v>
      </c>
      <c r="Z30" t="s">
        <v>135</v>
      </c>
      <c r="AA30" t="s">
        <v>191</v>
      </c>
      <c r="AB30" t="s">
        <v>10</v>
      </c>
      <c r="AC30" t="s">
        <v>383</v>
      </c>
      <c r="AE30" s="6" t="s">
        <v>190</v>
      </c>
      <c r="AF30" t="s">
        <v>135</v>
      </c>
      <c r="AG30" t="s">
        <v>191</v>
      </c>
      <c r="AH30" t="s">
        <v>10</v>
      </c>
      <c r="AI30" t="s">
        <v>383</v>
      </c>
      <c r="AK30" s="6" t="s">
        <v>190</v>
      </c>
      <c r="AL30" t="s">
        <v>135</v>
      </c>
      <c r="AM30" t="s">
        <v>191</v>
      </c>
      <c r="AN30" t="s">
        <v>10</v>
      </c>
      <c r="AO30" t="s">
        <v>383</v>
      </c>
    </row>
    <row r="31" spans="1:41">
      <c r="A31" s="6" t="s">
        <v>194</v>
      </c>
      <c r="B31" t="s">
        <v>135</v>
      </c>
      <c r="C31" t="s">
        <v>195</v>
      </c>
      <c r="D31" t="s">
        <v>10</v>
      </c>
      <c r="E31" t="s">
        <v>383</v>
      </c>
      <c r="G31" s="6" t="s">
        <v>194</v>
      </c>
      <c r="H31" t="s">
        <v>135</v>
      </c>
      <c r="I31" t="s">
        <v>195</v>
      </c>
      <c r="J31" t="s">
        <v>10</v>
      </c>
      <c r="K31" t="s">
        <v>383</v>
      </c>
      <c r="M31" s="6" t="s">
        <v>194</v>
      </c>
      <c r="N31" t="s">
        <v>135</v>
      </c>
      <c r="O31" t="s">
        <v>195</v>
      </c>
      <c r="P31" t="s">
        <v>10</v>
      </c>
      <c r="Q31" t="s">
        <v>383</v>
      </c>
      <c r="S31" s="6" t="s">
        <v>194</v>
      </c>
      <c r="T31" t="s">
        <v>135</v>
      </c>
      <c r="U31" t="s">
        <v>195</v>
      </c>
      <c r="V31" t="s">
        <v>10</v>
      </c>
      <c r="W31" t="s">
        <v>383</v>
      </c>
      <c r="Y31" s="6" t="s">
        <v>194</v>
      </c>
      <c r="Z31" t="s">
        <v>135</v>
      </c>
      <c r="AA31" t="s">
        <v>195</v>
      </c>
      <c r="AB31" t="s">
        <v>10</v>
      </c>
      <c r="AC31" t="s">
        <v>383</v>
      </c>
      <c r="AE31" s="6" t="s">
        <v>194</v>
      </c>
      <c r="AF31" t="s">
        <v>135</v>
      </c>
      <c r="AG31" t="s">
        <v>195</v>
      </c>
      <c r="AH31" t="s">
        <v>10</v>
      </c>
      <c r="AI31" t="s">
        <v>383</v>
      </c>
      <c r="AK31" s="6" t="s">
        <v>194</v>
      </c>
      <c r="AL31" t="s">
        <v>135</v>
      </c>
      <c r="AM31" t="s">
        <v>195</v>
      </c>
      <c r="AN31" t="s">
        <v>10</v>
      </c>
      <c r="AO31" t="s">
        <v>383</v>
      </c>
    </row>
    <row r="32" spans="1:41">
      <c r="A32" s="6" t="s">
        <v>196</v>
      </c>
      <c r="B32" t="s">
        <v>135</v>
      </c>
      <c r="C32" t="s">
        <v>197</v>
      </c>
      <c r="D32" t="s">
        <v>10</v>
      </c>
      <c r="E32" t="s">
        <v>383</v>
      </c>
      <c r="G32" s="6" t="s">
        <v>196</v>
      </c>
      <c r="H32" t="s">
        <v>135</v>
      </c>
      <c r="I32" t="s">
        <v>197</v>
      </c>
      <c r="J32" t="s">
        <v>10</v>
      </c>
      <c r="K32" t="s">
        <v>383</v>
      </c>
      <c r="M32" s="6" t="s">
        <v>196</v>
      </c>
      <c r="N32" t="s">
        <v>135</v>
      </c>
      <c r="O32" t="s">
        <v>197</v>
      </c>
      <c r="P32" t="s">
        <v>10</v>
      </c>
      <c r="Q32" t="s">
        <v>383</v>
      </c>
      <c r="S32" s="6" t="s">
        <v>196</v>
      </c>
      <c r="T32" t="s">
        <v>135</v>
      </c>
      <c r="U32" t="s">
        <v>197</v>
      </c>
      <c r="V32" t="s">
        <v>10</v>
      </c>
      <c r="W32" t="s">
        <v>383</v>
      </c>
      <c r="Y32" s="6" t="s">
        <v>196</v>
      </c>
      <c r="Z32" t="s">
        <v>135</v>
      </c>
      <c r="AA32" t="s">
        <v>197</v>
      </c>
      <c r="AB32" t="s">
        <v>10</v>
      </c>
      <c r="AC32" t="s">
        <v>383</v>
      </c>
      <c r="AE32" s="6" t="s">
        <v>196</v>
      </c>
      <c r="AF32" t="s">
        <v>135</v>
      </c>
      <c r="AG32" t="s">
        <v>197</v>
      </c>
      <c r="AH32" t="s">
        <v>10</v>
      </c>
      <c r="AI32" t="s">
        <v>383</v>
      </c>
      <c r="AK32" s="6" t="s">
        <v>196</v>
      </c>
      <c r="AL32" t="s">
        <v>135</v>
      </c>
      <c r="AM32" t="s">
        <v>197</v>
      </c>
      <c r="AN32" t="s">
        <v>10</v>
      </c>
      <c r="AO32" t="s">
        <v>383</v>
      </c>
    </row>
    <row r="33" spans="1:41">
      <c r="A33" s="6" t="s">
        <v>198</v>
      </c>
      <c r="B33" t="s">
        <v>362</v>
      </c>
      <c r="C33" t="s">
        <v>199</v>
      </c>
      <c r="D33">
        <v>3.1535999999999999E-4</v>
      </c>
      <c r="E33" t="s">
        <v>414</v>
      </c>
      <c r="G33" s="6" t="s">
        <v>198</v>
      </c>
      <c r="H33" t="s">
        <v>362</v>
      </c>
      <c r="I33" t="s">
        <v>199</v>
      </c>
      <c r="J33" t="s">
        <v>10</v>
      </c>
      <c r="K33" t="s">
        <v>383</v>
      </c>
      <c r="M33" s="6" t="s">
        <v>198</v>
      </c>
      <c r="N33" t="s">
        <v>362</v>
      </c>
      <c r="O33" t="s">
        <v>199</v>
      </c>
      <c r="P33" t="s">
        <v>10</v>
      </c>
      <c r="Q33" t="s">
        <v>383</v>
      </c>
      <c r="S33" s="6" t="s">
        <v>198</v>
      </c>
      <c r="T33" t="s">
        <v>362</v>
      </c>
      <c r="U33" t="s">
        <v>199</v>
      </c>
      <c r="V33" t="s">
        <v>10</v>
      </c>
      <c r="W33" t="s">
        <v>383</v>
      </c>
      <c r="Y33" s="6" t="s">
        <v>198</v>
      </c>
      <c r="Z33" t="s">
        <v>362</v>
      </c>
      <c r="AA33" t="s">
        <v>199</v>
      </c>
      <c r="AB33" t="s">
        <v>10</v>
      </c>
      <c r="AC33" t="s">
        <v>383</v>
      </c>
      <c r="AE33" s="6" t="s">
        <v>198</v>
      </c>
      <c r="AF33" t="s">
        <v>362</v>
      </c>
      <c r="AG33" t="s">
        <v>199</v>
      </c>
      <c r="AH33" t="s">
        <v>10</v>
      </c>
      <c r="AI33" t="s">
        <v>383</v>
      </c>
      <c r="AK33" s="6" t="s">
        <v>198</v>
      </c>
      <c r="AL33" t="s">
        <v>362</v>
      </c>
      <c r="AM33" t="s">
        <v>199</v>
      </c>
      <c r="AN33" t="s">
        <v>10</v>
      </c>
      <c r="AO33" t="s">
        <v>383</v>
      </c>
    </row>
    <row r="34" spans="1:41">
      <c r="A34" s="6" t="s">
        <v>200</v>
      </c>
      <c r="B34" t="s">
        <v>135</v>
      </c>
      <c r="C34" t="s">
        <v>201</v>
      </c>
      <c r="D34" t="s">
        <v>10</v>
      </c>
      <c r="E34" t="s">
        <v>383</v>
      </c>
      <c r="G34" s="6" t="s">
        <v>200</v>
      </c>
      <c r="H34" t="s">
        <v>135</v>
      </c>
      <c r="I34" t="s">
        <v>201</v>
      </c>
      <c r="J34" t="s">
        <v>10</v>
      </c>
      <c r="K34" t="s">
        <v>383</v>
      </c>
      <c r="M34" s="6" t="s">
        <v>200</v>
      </c>
      <c r="N34" t="s">
        <v>135</v>
      </c>
      <c r="O34" t="s">
        <v>201</v>
      </c>
      <c r="P34" t="s">
        <v>10</v>
      </c>
      <c r="Q34" t="s">
        <v>383</v>
      </c>
      <c r="S34" s="6" t="s">
        <v>200</v>
      </c>
      <c r="T34" t="s">
        <v>135</v>
      </c>
      <c r="U34" t="s">
        <v>201</v>
      </c>
      <c r="V34" t="s">
        <v>10</v>
      </c>
      <c r="W34" t="s">
        <v>383</v>
      </c>
      <c r="Y34" s="6" t="s">
        <v>200</v>
      </c>
      <c r="Z34" t="s">
        <v>135</v>
      </c>
      <c r="AA34" t="s">
        <v>201</v>
      </c>
      <c r="AB34" t="s">
        <v>10</v>
      </c>
      <c r="AC34" t="s">
        <v>383</v>
      </c>
      <c r="AE34" s="6" t="s">
        <v>200</v>
      </c>
      <c r="AF34" t="s">
        <v>135</v>
      </c>
      <c r="AG34" t="s">
        <v>201</v>
      </c>
      <c r="AH34" t="s">
        <v>10</v>
      </c>
      <c r="AI34" t="s">
        <v>383</v>
      </c>
      <c r="AK34" s="6" t="s">
        <v>200</v>
      </c>
      <c r="AL34" t="s">
        <v>135</v>
      </c>
      <c r="AM34" t="s">
        <v>201</v>
      </c>
      <c r="AN34" t="s">
        <v>10</v>
      </c>
      <c r="AO34" t="s">
        <v>383</v>
      </c>
    </row>
    <row r="35" spans="1:41">
      <c r="A35" s="6" t="s">
        <v>202</v>
      </c>
      <c r="B35" t="s">
        <v>135</v>
      </c>
      <c r="C35" t="s">
        <v>203</v>
      </c>
      <c r="D35" t="s">
        <v>10</v>
      </c>
      <c r="E35" t="s">
        <v>383</v>
      </c>
      <c r="G35" s="6" t="s">
        <v>202</v>
      </c>
      <c r="H35" t="s">
        <v>135</v>
      </c>
      <c r="I35" t="s">
        <v>203</v>
      </c>
      <c r="J35" t="s">
        <v>10</v>
      </c>
      <c r="K35" t="s">
        <v>383</v>
      </c>
      <c r="M35" s="6" t="s">
        <v>202</v>
      </c>
      <c r="N35" t="s">
        <v>135</v>
      </c>
      <c r="O35" t="s">
        <v>203</v>
      </c>
      <c r="P35" t="s">
        <v>10</v>
      </c>
      <c r="Q35" t="s">
        <v>383</v>
      </c>
      <c r="S35" s="6" t="s">
        <v>202</v>
      </c>
      <c r="T35" t="s">
        <v>135</v>
      </c>
      <c r="U35" t="s">
        <v>203</v>
      </c>
      <c r="V35" t="s">
        <v>10</v>
      </c>
      <c r="W35" t="s">
        <v>383</v>
      </c>
      <c r="Y35" s="6" t="s">
        <v>202</v>
      </c>
      <c r="Z35" t="s">
        <v>135</v>
      </c>
      <c r="AA35" t="s">
        <v>203</v>
      </c>
      <c r="AB35" t="s">
        <v>10</v>
      </c>
      <c r="AC35" t="s">
        <v>383</v>
      </c>
      <c r="AE35" s="6" t="s">
        <v>202</v>
      </c>
      <c r="AF35" t="s">
        <v>135</v>
      </c>
      <c r="AG35" t="s">
        <v>203</v>
      </c>
      <c r="AH35" t="s">
        <v>10</v>
      </c>
      <c r="AI35" t="s">
        <v>383</v>
      </c>
      <c r="AK35" s="6" t="s">
        <v>202</v>
      </c>
      <c r="AL35" t="s">
        <v>135</v>
      </c>
      <c r="AM35" t="s">
        <v>203</v>
      </c>
      <c r="AN35" t="s">
        <v>10</v>
      </c>
      <c r="AO35" t="s">
        <v>383</v>
      </c>
    </row>
    <row r="36" spans="1:41">
      <c r="A36" s="6" t="s">
        <v>204</v>
      </c>
      <c r="B36" t="s">
        <v>135</v>
      </c>
      <c r="C36" t="s">
        <v>205</v>
      </c>
      <c r="D36" t="s">
        <v>10</v>
      </c>
      <c r="E36" t="s">
        <v>383</v>
      </c>
      <c r="G36" s="6" t="s">
        <v>204</v>
      </c>
      <c r="H36" t="s">
        <v>135</v>
      </c>
      <c r="I36" t="s">
        <v>205</v>
      </c>
      <c r="J36" t="s">
        <v>10</v>
      </c>
      <c r="K36" t="s">
        <v>383</v>
      </c>
      <c r="M36" s="6" t="s">
        <v>204</v>
      </c>
      <c r="N36" t="s">
        <v>135</v>
      </c>
      <c r="O36" t="s">
        <v>205</v>
      </c>
      <c r="P36" t="s">
        <v>10</v>
      </c>
      <c r="Q36" t="s">
        <v>383</v>
      </c>
      <c r="S36" s="6" t="s">
        <v>204</v>
      </c>
      <c r="T36" t="s">
        <v>135</v>
      </c>
      <c r="U36" t="s">
        <v>205</v>
      </c>
      <c r="V36" t="s">
        <v>10</v>
      </c>
      <c r="W36" t="s">
        <v>383</v>
      </c>
      <c r="Y36" s="6" t="s">
        <v>204</v>
      </c>
      <c r="Z36" t="s">
        <v>135</v>
      </c>
      <c r="AA36" t="s">
        <v>205</v>
      </c>
      <c r="AB36" t="s">
        <v>10</v>
      </c>
      <c r="AC36" t="s">
        <v>383</v>
      </c>
      <c r="AE36" s="6" t="s">
        <v>204</v>
      </c>
      <c r="AF36" t="s">
        <v>135</v>
      </c>
      <c r="AG36" t="s">
        <v>205</v>
      </c>
      <c r="AH36" t="s">
        <v>10</v>
      </c>
      <c r="AI36" t="s">
        <v>383</v>
      </c>
      <c r="AK36" s="6" t="s">
        <v>204</v>
      </c>
      <c r="AL36" t="s">
        <v>135</v>
      </c>
      <c r="AM36" t="s">
        <v>205</v>
      </c>
      <c r="AN36" t="s">
        <v>10</v>
      </c>
      <c r="AO36" t="s">
        <v>383</v>
      </c>
    </row>
    <row r="37" spans="1:41">
      <c r="A37" s="6" t="s">
        <v>206</v>
      </c>
      <c r="B37" t="s">
        <v>362</v>
      </c>
      <c r="C37" t="s">
        <v>207</v>
      </c>
      <c r="D37">
        <v>7.2270000000000006E-4</v>
      </c>
      <c r="E37" t="s">
        <v>414</v>
      </c>
      <c r="G37" s="6" t="s">
        <v>206</v>
      </c>
      <c r="H37" t="s">
        <v>362</v>
      </c>
      <c r="I37" t="s">
        <v>207</v>
      </c>
      <c r="J37" t="s">
        <v>10</v>
      </c>
      <c r="K37" t="s">
        <v>383</v>
      </c>
      <c r="M37" s="6" t="s">
        <v>206</v>
      </c>
      <c r="N37" t="s">
        <v>362</v>
      </c>
      <c r="O37" t="s">
        <v>207</v>
      </c>
      <c r="P37" t="s">
        <v>10</v>
      </c>
      <c r="Q37" t="s">
        <v>383</v>
      </c>
      <c r="S37" s="6" t="s">
        <v>206</v>
      </c>
      <c r="T37" t="s">
        <v>362</v>
      </c>
      <c r="U37" t="s">
        <v>207</v>
      </c>
      <c r="V37" t="s">
        <v>10</v>
      </c>
      <c r="W37" t="s">
        <v>383</v>
      </c>
      <c r="Y37" s="6" t="s">
        <v>206</v>
      </c>
      <c r="Z37" t="s">
        <v>362</v>
      </c>
      <c r="AA37" t="s">
        <v>207</v>
      </c>
      <c r="AB37" t="s">
        <v>10</v>
      </c>
      <c r="AC37" t="s">
        <v>383</v>
      </c>
      <c r="AE37" s="6" t="s">
        <v>206</v>
      </c>
      <c r="AF37" t="s">
        <v>362</v>
      </c>
      <c r="AG37" t="s">
        <v>207</v>
      </c>
      <c r="AH37" t="s">
        <v>10</v>
      </c>
      <c r="AI37" t="s">
        <v>383</v>
      </c>
      <c r="AK37" s="6" t="s">
        <v>206</v>
      </c>
      <c r="AL37" t="s">
        <v>362</v>
      </c>
      <c r="AM37" t="s">
        <v>207</v>
      </c>
      <c r="AN37" t="s">
        <v>10</v>
      </c>
      <c r="AO37" t="s">
        <v>383</v>
      </c>
    </row>
    <row r="38" spans="1:41">
      <c r="A38" s="6" t="s">
        <v>208</v>
      </c>
      <c r="B38" t="s">
        <v>362</v>
      </c>
      <c r="C38" t="s">
        <v>209</v>
      </c>
      <c r="D38" t="s">
        <v>10</v>
      </c>
      <c r="E38" t="s">
        <v>383</v>
      </c>
      <c r="G38" s="6" t="s">
        <v>208</v>
      </c>
      <c r="H38" t="s">
        <v>362</v>
      </c>
      <c r="I38" t="s">
        <v>209</v>
      </c>
      <c r="J38" t="s">
        <v>10</v>
      </c>
      <c r="K38" t="s">
        <v>383</v>
      </c>
      <c r="M38" s="6" t="s">
        <v>208</v>
      </c>
      <c r="N38" t="s">
        <v>362</v>
      </c>
      <c r="O38" t="s">
        <v>209</v>
      </c>
      <c r="P38" t="s">
        <v>10</v>
      </c>
      <c r="Q38" t="s">
        <v>383</v>
      </c>
      <c r="S38" s="6" t="s">
        <v>208</v>
      </c>
      <c r="T38" t="s">
        <v>362</v>
      </c>
      <c r="U38" t="s">
        <v>209</v>
      </c>
      <c r="V38" t="s">
        <v>10</v>
      </c>
      <c r="W38" t="s">
        <v>383</v>
      </c>
      <c r="Y38" s="6" t="s">
        <v>208</v>
      </c>
      <c r="Z38" t="s">
        <v>362</v>
      </c>
      <c r="AA38" t="s">
        <v>209</v>
      </c>
      <c r="AB38" t="s">
        <v>10</v>
      </c>
      <c r="AC38" t="s">
        <v>383</v>
      </c>
      <c r="AE38" s="6" t="s">
        <v>208</v>
      </c>
      <c r="AF38" t="s">
        <v>362</v>
      </c>
      <c r="AG38" t="s">
        <v>209</v>
      </c>
      <c r="AH38" t="s">
        <v>10</v>
      </c>
      <c r="AI38" t="s">
        <v>383</v>
      </c>
      <c r="AK38" s="6" t="s">
        <v>208</v>
      </c>
      <c r="AL38" t="s">
        <v>362</v>
      </c>
      <c r="AM38" t="s">
        <v>209</v>
      </c>
      <c r="AN38" t="s">
        <v>10</v>
      </c>
      <c r="AO38" t="s">
        <v>383</v>
      </c>
    </row>
    <row r="39" spans="1:41">
      <c r="A39" s="6" t="s">
        <v>210</v>
      </c>
      <c r="B39" t="s">
        <v>135</v>
      </c>
      <c r="C39" t="s">
        <v>211</v>
      </c>
      <c r="D39" t="s">
        <v>10</v>
      </c>
      <c r="E39" t="s">
        <v>383</v>
      </c>
      <c r="G39" s="6" t="s">
        <v>210</v>
      </c>
      <c r="H39" t="s">
        <v>135</v>
      </c>
      <c r="I39" t="s">
        <v>211</v>
      </c>
      <c r="J39" t="s">
        <v>10</v>
      </c>
      <c r="K39" t="s">
        <v>383</v>
      </c>
      <c r="M39" s="6" t="s">
        <v>210</v>
      </c>
      <c r="N39" t="s">
        <v>135</v>
      </c>
      <c r="O39" t="s">
        <v>211</v>
      </c>
      <c r="P39" t="s">
        <v>10</v>
      </c>
      <c r="Q39" t="s">
        <v>383</v>
      </c>
      <c r="S39" s="6" t="s">
        <v>210</v>
      </c>
      <c r="T39" t="s">
        <v>135</v>
      </c>
      <c r="U39" t="s">
        <v>211</v>
      </c>
      <c r="V39" t="s">
        <v>10</v>
      </c>
      <c r="W39" t="s">
        <v>383</v>
      </c>
      <c r="Y39" s="6" t="s">
        <v>210</v>
      </c>
      <c r="Z39" t="s">
        <v>135</v>
      </c>
      <c r="AA39" t="s">
        <v>211</v>
      </c>
      <c r="AB39" t="s">
        <v>10</v>
      </c>
      <c r="AC39" t="s">
        <v>383</v>
      </c>
      <c r="AE39" s="6" t="s">
        <v>210</v>
      </c>
      <c r="AF39" t="s">
        <v>135</v>
      </c>
      <c r="AG39" t="s">
        <v>211</v>
      </c>
      <c r="AH39" t="s">
        <v>10</v>
      </c>
      <c r="AI39" t="s">
        <v>383</v>
      </c>
      <c r="AK39" s="6" t="s">
        <v>210</v>
      </c>
      <c r="AL39" t="s">
        <v>135</v>
      </c>
      <c r="AM39" t="s">
        <v>211</v>
      </c>
      <c r="AN39" t="s">
        <v>10</v>
      </c>
      <c r="AO39" t="s">
        <v>383</v>
      </c>
    </row>
    <row r="40" spans="1:41">
      <c r="A40" s="6" t="s">
        <v>212</v>
      </c>
      <c r="B40" t="s">
        <v>362</v>
      </c>
      <c r="C40" t="s">
        <v>213</v>
      </c>
      <c r="D40" t="s">
        <v>10</v>
      </c>
      <c r="E40" t="s">
        <v>383</v>
      </c>
      <c r="G40" s="6" t="s">
        <v>212</v>
      </c>
      <c r="H40" t="s">
        <v>362</v>
      </c>
      <c r="I40" t="s">
        <v>213</v>
      </c>
      <c r="J40" t="s">
        <v>10</v>
      </c>
      <c r="K40" t="s">
        <v>383</v>
      </c>
      <c r="M40" s="6" t="s">
        <v>212</v>
      </c>
      <c r="N40" t="s">
        <v>362</v>
      </c>
      <c r="O40" t="s">
        <v>213</v>
      </c>
      <c r="P40" t="s">
        <v>10</v>
      </c>
      <c r="Q40" t="s">
        <v>383</v>
      </c>
      <c r="S40" s="6" t="s">
        <v>212</v>
      </c>
      <c r="T40" t="s">
        <v>362</v>
      </c>
      <c r="U40" t="s">
        <v>213</v>
      </c>
      <c r="V40" t="s">
        <v>10</v>
      </c>
      <c r="W40" t="s">
        <v>383</v>
      </c>
      <c r="Y40" s="6" t="s">
        <v>212</v>
      </c>
      <c r="Z40" t="s">
        <v>362</v>
      </c>
      <c r="AA40" t="s">
        <v>213</v>
      </c>
      <c r="AB40" t="s">
        <v>10</v>
      </c>
      <c r="AC40" t="s">
        <v>383</v>
      </c>
      <c r="AE40" s="6" t="s">
        <v>212</v>
      </c>
      <c r="AF40" t="s">
        <v>362</v>
      </c>
      <c r="AG40" t="s">
        <v>213</v>
      </c>
      <c r="AH40" t="s">
        <v>10</v>
      </c>
      <c r="AI40" t="s">
        <v>383</v>
      </c>
      <c r="AK40" s="6" t="s">
        <v>212</v>
      </c>
      <c r="AL40" t="s">
        <v>362</v>
      </c>
      <c r="AM40" t="s">
        <v>213</v>
      </c>
      <c r="AN40" t="s">
        <v>10</v>
      </c>
      <c r="AO40" t="s">
        <v>383</v>
      </c>
    </row>
    <row r="41" spans="1:41">
      <c r="A41" s="6" t="s">
        <v>214</v>
      </c>
      <c r="B41" t="s">
        <v>135</v>
      </c>
      <c r="C41" t="s">
        <v>215</v>
      </c>
      <c r="D41" t="s">
        <v>10</v>
      </c>
      <c r="E41" t="s">
        <v>383</v>
      </c>
      <c r="G41" s="6" t="s">
        <v>214</v>
      </c>
      <c r="H41" t="s">
        <v>135</v>
      </c>
      <c r="I41" t="s">
        <v>215</v>
      </c>
      <c r="J41" t="s">
        <v>10</v>
      </c>
      <c r="K41" t="s">
        <v>383</v>
      </c>
      <c r="M41" s="6" t="s">
        <v>214</v>
      </c>
      <c r="N41" t="s">
        <v>135</v>
      </c>
      <c r="O41" t="s">
        <v>215</v>
      </c>
      <c r="P41" t="s">
        <v>10</v>
      </c>
      <c r="Q41" t="s">
        <v>383</v>
      </c>
      <c r="S41" s="6" t="s">
        <v>214</v>
      </c>
      <c r="T41" t="s">
        <v>135</v>
      </c>
      <c r="U41" t="s">
        <v>215</v>
      </c>
      <c r="V41" t="s">
        <v>10</v>
      </c>
      <c r="W41" t="s">
        <v>383</v>
      </c>
      <c r="Y41" s="6" t="s">
        <v>214</v>
      </c>
      <c r="Z41" t="s">
        <v>135</v>
      </c>
      <c r="AA41" t="s">
        <v>215</v>
      </c>
      <c r="AB41" t="s">
        <v>10</v>
      </c>
      <c r="AC41" t="s">
        <v>383</v>
      </c>
      <c r="AE41" s="6" t="s">
        <v>214</v>
      </c>
      <c r="AF41" t="s">
        <v>135</v>
      </c>
      <c r="AG41" t="s">
        <v>215</v>
      </c>
      <c r="AH41" t="s">
        <v>10</v>
      </c>
      <c r="AI41" t="s">
        <v>383</v>
      </c>
      <c r="AK41" s="6" t="s">
        <v>214</v>
      </c>
      <c r="AL41" t="s">
        <v>135</v>
      </c>
      <c r="AM41" t="s">
        <v>215</v>
      </c>
      <c r="AN41" t="s">
        <v>10</v>
      </c>
      <c r="AO41" t="s">
        <v>383</v>
      </c>
    </row>
    <row r="42" spans="1:41">
      <c r="A42" s="6" t="s">
        <v>216</v>
      </c>
      <c r="B42" t="s">
        <v>135</v>
      </c>
      <c r="C42" t="s">
        <v>217</v>
      </c>
      <c r="D42" t="s">
        <v>10</v>
      </c>
      <c r="E42" t="s">
        <v>383</v>
      </c>
      <c r="G42" s="6" t="s">
        <v>216</v>
      </c>
      <c r="H42" t="s">
        <v>135</v>
      </c>
      <c r="I42" t="s">
        <v>217</v>
      </c>
      <c r="J42" t="s">
        <v>10</v>
      </c>
      <c r="K42" t="s">
        <v>383</v>
      </c>
      <c r="M42" s="6" t="s">
        <v>216</v>
      </c>
      <c r="N42" t="s">
        <v>135</v>
      </c>
      <c r="O42" t="s">
        <v>217</v>
      </c>
      <c r="P42" t="s">
        <v>10</v>
      </c>
      <c r="Q42" t="s">
        <v>383</v>
      </c>
      <c r="S42" s="6" t="s">
        <v>216</v>
      </c>
      <c r="T42" t="s">
        <v>135</v>
      </c>
      <c r="U42" t="s">
        <v>217</v>
      </c>
      <c r="V42" t="s">
        <v>10</v>
      </c>
      <c r="W42" t="s">
        <v>383</v>
      </c>
      <c r="Y42" s="6" t="s">
        <v>216</v>
      </c>
      <c r="Z42" t="s">
        <v>135</v>
      </c>
      <c r="AA42" t="s">
        <v>217</v>
      </c>
      <c r="AB42" t="s">
        <v>10</v>
      </c>
      <c r="AC42" t="s">
        <v>383</v>
      </c>
      <c r="AE42" s="6" t="s">
        <v>216</v>
      </c>
      <c r="AF42" t="s">
        <v>135</v>
      </c>
      <c r="AG42" t="s">
        <v>217</v>
      </c>
      <c r="AH42" t="s">
        <v>10</v>
      </c>
      <c r="AI42" t="s">
        <v>383</v>
      </c>
      <c r="AK42" s="6" t="s">
        <v>216</v>
      </c>
      <c r="AL42" t="s">
        <v>135</v>
      </c>
      <c r="AM42" t="s">
        <v>217</v>
      </c>
      <c r="AN42" t="s">
        <v>10</v>
      </c>
      <c r="AO42" t="s">
        <v>383</v>
      </c>
    </row>
    <row r="43" spans="1:41">
      <c r="A43" s="6" t="s">
        <v>218</v>
      </c>
      <c r="B43" t="s">
        <v>135</v>
      </c>
      <c r="D43" t="s">
        <v>10</v>
      </c>
      <c r="E43" t="s">
        <v>383</v>
      </c>
      <c r="G43" s="6" t="s">
        <v>218</v>
      </c>
      <c r="H43" t="s">
        <v>135</v>
      </c>
      <c r="J43" t="s">
        <v>10</v>
      </c>
      <c r="K43" t="s">
        <v>383</v>
      </c>
      <c r="M43" s="6" t="s">
        <v>218</v>
      </c>
      <c r="N43" t="s">
        <v>135</v>
      </c>
      <c r="P43" t="s">
        <v>10</v>
      </c>
      <c r="Q43" t="s">
        <v>383</v>
      </c>
      <c r="S43" s="6" t="s">
        <v>218</v>
      </c>
      <c r="T43" t="s">
        <v>135</v>
      </c>
      <c r="V43" t="s">
        <v>10</v>
      </c>
      <c r="W43" t="s">
        <v>383</v>
      </c>
      <c r="Y43" s="6" t="s">
        <v>218</v>
      </c>
      <c r="Z43" t="s">
        <v>135</v>
      </c>
      <c r="AB43" t="s">
        <v>10</v>
      </c>
      <c r="AC43" t="s">
        <v>383</v>
      </c>
      <c r="AE43" s="6" t="s">
        <v>218</v>
      </c>
      <c r="AF43" t="s">
        <v>135</v>
      </c>
      <c r="AH43" t="s">
        <v>10</v>
      </c>
      <c r="AI43" t="s">
        <v>383</v>
      </c>
      <c r="AK43" s="6" t="s">
        <v>218</v>
      </c>
      <c r="AL43" t="s">
        <v>135</v>
      </c>
      <c r="AN43" t="s">
        <v>10</v>
      </c>
      <c r="AO43" t="s">
        <v>383</v>
      </c>
    </row>
    <row r="44" spans="1:41">
      <c r="A44" s="6" t="s">
        <v>219</v>
      </c>
      <c r="B44" t="s">
        <v>135</v>
      </c>
      <c r="C44" t="s">
        <v>220</v>
      </c>
      <c r="D44" t="s">
        <v>10</v>
      </c>
      <c r="E44" t="s">
        <v>383</v>
      </c>
      <c r="G44" s="6" t="s">
        <v>219</v>
      </c>
      <c r="H44" t="s">
        <v>135</v>
      </c>
      <c r="I44" t="s">
        <v>220</v>
      </c>
      <c r="J44">
        <v>3.3638400000000006E-2</v>
      </c>
      <c r="K44" t="s">
        <v>414</v>
      </c>
      <c r="M44" s="6" t="s">
        <v>219</v>
      </c>
      <c r="N44" t="s">
        <v>135</v>
      </c>
      <c r="O44" t="s">
        <v>220</v>
      </c>
      <c r="P44">
        <v>3.3638400000000006E-2</v>
      </c>
      <c r="Q44" t="s">
        <v>414</v>
      </c>
      <c r="S44" s="6" t="s">
        <v>219</v>
      </c>
      <c r="T44" t="s">
        <v>135</v>
      </c>
      <c r="U44" t="s">
        <v>220</v>
      </c>
      <c r="V44">
        <v>3.3638400000000006E-2</v>
      </c>
      <c r="W44" t="s">
        <v>414</v>
      </c>
      <c r="Y44" s="6" t="s">
        <v>219</v>
      </c>
      <c r="Z44" t="s">
        <v>135</v>
      </c>
      <c r="AA44" t="s">
        <v>220</v>
      </c>
      <c r="AB44" t="s">
        <v>10</v>
      </c>
      <c r="AC44" t="s">
        <v>383</v>
      </c>
      <c r="AE44" s="6" t="s">
        <v>219</v>
      </c>
      <c r="AF44" t="s">
        <v>135</v>
      </c>
      <c r="AG44" t="s">
        <v>220</v>
      </c>
      <c r="AH44" t="s">
        <v>10</v>
      </c>
      <c r="AI44" t="s">
        <v>383</v>
      </c>
      <c r="AK44" s="6" t="s">
        <v>219</v>
      </c>
      <c r="AL44" t="s">
        <v>135</v>
      </c>
      <c r="AM44" t="s">
        <v>220</v>
      </c>
      <c r="AN44" t="s">
        <v>10</v>
      </c>
      <c r="AO44" t="s">
        <v>383</v>
      </c>
    </row>
    <row r="45" spans="1:41">
      <c r="A45" s="6" t="s">
        <v>221</v>
      </c>
      <c r="B45" t="s">
        <v>135</v>
      </c>
      <c r="C45" t="s">
        <v>222</v>
      </c>
      <c r="D45" t="s">
        <v>10</v>
      </c>
      <c r="E45" t="s">
        <v>383</v>
      </c>
      <c r="G45" s="6" t="s">
        <v>221</v>
      </c>
      <c r="H45" t="s">
        <v>135</v>
      </c>
      <c r="I45" t="s">
        <v>222</v>
      </c>
      <c r="J45" t="s">
        <v>10</v>
      </c>
      <c r="K45" t="s">
        <v>383</v>
      </c>
      <c r="M45" s="6" t="s">
        <v>221</v>
      </c>
      <c r="N45" t="s">
        <v>135</v>
      </c>
      <c r="O45" t="s">
        <v>222</v>
      </c>
      <c r="P45" t="s">
        <v>10</v>
      </c>
      <c r="Q45" t="s">
        <v>383</v>
      </c>
      <c r="S45" s="6" t="s">
        <v>221</v>
      </c>
      <c r="T45" t="s">
        <v>135</v>
      </c>
      <c r="U45" t="s">
        <v>222</v>
      </c>
      <c r="V45" t="s">
        <v>10</v>
      </c>
      <c r="W45" t="s">
        <v>383</v>
      </c>
      <c r="Y45" s="6" t="s">
        <v>221</v>
      </c>
      <c r="Z45" t="s">
        <v>135</v>
      </c>
      <c r="AA45" t="s">
        <v>222</v>
      </c>
      <c r="AB45" t="s">
        <v>10</v>
      </c>
      <c r="AC45" t="s">
        <v>383</v>
      </c>
      <c r="AE45" s="6" t="s">
        <v>221</v>
      </c>
      <c r="AF45" t="s">
        <v>135</v>
      </c>
      <c r="AG45" t="s">
        <v>222</v>
      </c>
      <c r="AH45" t="s">
        <v>10</v>
      </c>
      <c r="AI45" t="s">
        <v>383</v>
      </c>
      <c r="AK45" s="6" t="s">
        <v>221</v>
      </c>
      <c r="AL45" t="s">
        <v>135</v>
      </c>
      <c r="AM45" t="s">
        <v>222</v>
      </c>
      <c r="AN45" t="s">
        <v>10</v>
      </c>
      <c r="AO45" t="s">
        <v>383</v>
      </c>
    </row>
    <row r="46" spans="1:41">
      <c r="A46" s="6" t="s">
        <v>223</v>
      </c>
      <c r="B46" t="s">
        <v>135</v>
      </c>
      <c r="C46" t="s">
        <v>224</v>
      </c>
      <c r="D46" t="s">
        <v>10</v>
      </c>
      <c r="E46" t="s">
        <v>383</v>
      </c>
      <c r="G46" s="6" t="s">
        <v>223</v>
      </c>
      <c r="H46" t="s">
        <v>135</v>
      </c>
      <c r="I46" t="s">
        <v>224</v>
      </c>
      <c r="J46" t="s">
        <v>10</v>
      </c>
      <c r="K46" t="s">
        <v>383</v>
      </c>
      <c r="M46" s="6" t="s">
        <v>223</v>
      </c>
      <c r="N46" t="s">
        <v>135</v>
      </c>
      <c r="O46" t="s">
        <v>224</v>
      </c>
      <c r="P46" t="s">
        <v>10</v>
      </c>
      <c r="Q46" t="s">
        <v>383</v>
      </c>
      <c r="S46" s="6" t="s">
        <v>223</v>
      </c>
      <c r="T46" t="s">
        <v>135</v>
      </c>
      <c r="U46" t="s">
        <v>224</v>
      </c>
      <c r="V46" t="s">
        <v>10</v>
      </c>
      <c r="W46" t="s">
        <v>383</v>
      </c>
      <c r="Y46" s="6" t="s">
        <v>223</v>
      </c>
      <c r="Z46" t="s">
        <v>135</v>
      </c>
      <c r="AA46" t="s">
        <v>224</v>
      </c>
      <c r="AB46" t="s">
        <v>10</v>
      </c>
      <c r="AC46" t="s">
        <v>383</v>
      </c>
      <c r="AE46" s="6" t="s">
        <v>223</v>
      </c>
      <c r="AF46" t="s">
        <v>135</v>
      </c>
      <c r="AG46" t="s">
        <v>224</v>
      </c>
      <c r="AH46" t="s">
        <v>10</v>
      </c>
      <c r="AI46" t="s">
        <v>383</v>
      </c>
      <c r="AK46" s="6" t="s">
        <v>223</v>
      </c>
      <c r="AL46" t="s">
        <v>135</v>
      </c>
      <c r="AM46" t="s">
        <v>224</v>
      </c>
      <c r="AN46" t="s">
        <v>10</v>
      </c>
      <c r="AO46" t="s">
        <v>383</v>
      </c>
    </row>
    <row r="47" spans="1:41">
      <c r="A47" s="6" t="s">
        <v>225</v>
      </c>
      <c r="B47" t="s">
        <v>135</v>
      </c>
      <c r="C47" t="s">
        <v>226</v>
      </c>
      <c r="D47" t="s">
        <v>10</v>
      </c>
      <c r="E47" t="s">
        <v>383</v>
      </c>
      <c r="G47" s="6" t="s">
        <v>225</v>
      </c>
      <c r="H47" t="s">
        <v>135</v>
      </c>
      <c r="I47" t="s">
        <v>226</v>
      </c>
      <c r="J47" t="s">
        <v>10</v>
      </c>
      <c r="K47" t="s">
        <v>383</v>
      </c>
      <c r="M47" s="6" t="s">
        <v>225</v>
      </c>
      <c r="N47" t="s">
        <v>135</v>
      </c>
      <c r="O47" t="s">
        <v>226</v>
      </c>
      <c r="P47" t="s">
        <v>10</v>
      </c>
      <c r="Q47" t="s">
        <v>383</v>
      </c>
      <c r="S47" s="6" t="s">
        <v>225</v>
      </c>
      <c r="T47" t="s">
        <v>135</v>
      </c>
      <c r="U47" t="s">
        <v>226</v>
      </c>
      <c r="V47" t="s">
        <v>10</v>
      </c>
      <c r="W47" t="s">
        <v>383</v>
      </c>
      <c r="Y47" s="6" t="s">
        <v>225</v>
      </c>
      <c r="Z47" t="s">
        <v>135</v>
      </c>
      <c r="AA47" t="s">
        <v>226</v>
      </c>
      <c r="AB47" t="s">
        <v>10</v>
      </c>
      <c r="AC47" t="s">
        <v>383</v>
      </c>
      <c r="AE47" s="6" t="s">
        <v>225</v>
      </c>
      <c r="AF47" t="s">
        <v>135</v>
      </c>
      <c r="AG47" t="s">
        <v>226</v>
      </c>
      <c r="AH47" t="s">
        <v>10</v>
      </c>
      <c r="AI47" t="s">
        <v>383</v>
      </c>
      <c r="AK47" s="6" t="s">
        <v>225</v>
      </c>
      <c r="AL47" t="s">
        <v>135</v>
      </c>
      <c r="AM47" t="s">
        <v>226</v>
      </c>
      <c r="AN47" t="s">
        <v>10</v>
      </c>
      <c r="AO47" t="s">
        <v>383</v>
      </c>
    </row>
    <row r="48" spans="1:41">
      <c r="A48" s="6" t="s">
        <v>227</v>
      </c>
      <c r="B48" t="s">
        <v>135</v>
      </c>
      <c r="C48" t="s">
        <v>228</v>
      </c>
      <c r="D48" t="s">
        <v>10</v>
      </c>
      <c r="E48" t="s">
        <v>383</v>
      </c>
      <c r="G48" s="6" t="s">
        <v>227</v>
      </c>
      <c r="H48" t="s">
        <v>135</v>
      </c>
      <c r="I48" t="s">
        <v>228</v>
      </c>
      <c r="J48" t="s">
        <v>10</v>
      </c>
      <c r="K48" t="s">
        <v>383</v>
      </c>
      <c r="M48" s="6" t="s">
        <v>227</v>
      </c>
      <c r="N48" t="s">
        <v>135</v>
      </c>
      <c r="O48" t="s">
        <v>228</v>
      </c>
      <c r="P48" t="s">
        <v>10</v>
      </c>
      <c r="Q48" t="s">
        <v>383</v>
      </c>
      <c r="S48" s="6" t="s">
        <v>227</v>
      </c>
      <c r="T48" t="s">
        <v>135</v>
      </c>
      <c r="U48" t="s">
        <v>228</v>
      </c>
      <c r="V48" t="s">
        <v>10</v>
      </c>
      <c r="W48" t="s">
        <v>383</v>
      </c>
      <c r="Y48" s="6" t="s">
        <v>227</v>
      </c>
      <c r="Z48" t="s">
        <v>135</v>
      </c>
      <c r="AA48" t="s">
        <v>228</v>
      </c>
      <c r="AB48" t="s">
        <v>10</v>
      </c>
      <c r="AC48" t="s">
        <v>383</v>
      </c>
      <c r="AE48" s="6" t="s">
        <v>227</v>
      </c>
      <c r="AF48" t="s">
        <v>135</v>
      </c>
      <c r="AG48" t="s">
        <v>228</v>
      </c>
      <c r="AH48" t="s">
        <v>10</v>
      </c>
      <c r="AI48" t="s">
        <v>383</v>
      </c>
      <c r="AK48" s="6" t="s">
        <v>227</v>
      </c>
      <c r="AL48" t="s">
        <v>135</v>
      </c>
      <c r="AM48" t="s">
        <v>228</v>
      </c>
      <c r="AN48" t="s">
        <v>10</v>
      </c>
      <c r="AO48" t="s">
        <v>383</v>
      </c>
    </row>
    <row r="49" spans="1:41">
      <c r="A49" s="6" t="s">
        <v>230</v>
      </c>
      <c r="B49" t="s">
        <v>135</v>
      </c>
      <c r="C49" t="s">
        <v>231</v>
      </c>
      <c r="D49">
        <v>1.8395999999999996E-2</v>
      </c>
      <c r="E49" t="s">
        <v>414</v>
      </c>
      <c r="G49" s="6" t="s">
        <v>230</v>
      </c>
      <c r="H49" t="s">
        <v>135</v>
      </c>
      <c r="I49" t="s">
        <v>231</v>
      </c>
      <c r="J49">
        <v>2.8032000000000004</v>
      </c>
      <c r="K49" t="s">
        <v>412</v>
      </c>
      <c r="M49" s="6" t="s">
        <v>230</v>
      </c>
      <c r="N49" t="s">
        <v>135</v>
      </c>
      <c r="O49" t="s">
        <v>231</v>
      </c>
      <c r="P49">
        <v>2.8032000000000004</v>
      </c>
      <c r="Q49" t="s">
        <v>412</v>
      </c>
      <c r="S49" s="6" t="s">
        <v>230</v>
      </c>
      <c r="T49" t="s">
        <v>135</v>
      </c>
      <c r="U49" t="s">
        <v>231</v>
      </c>
      <c r="V49">
        <v>2.8032000000000004</v>
      </c>
      <c r="W49" t="s">
        <v>412</v>
      </c>
      <c r="Y49" s="6" t="s">
        <v>230</v>
      </c>
      <c r="Z49" t="s">
        <v>135</v>
      </c>
      <c r="AA49" t="s">
        <v>231</v>
      </c>
      <c r="AB49" t="s">
        <v>10</v>
      </c>
      <c r="AC49" t="s">
        <v>383</v>
      </c>
      <c r="AE49" s="6" t="s">
        <v>230</v>
      </c>
      <c r="AF49" t="s">
        <v>135</v>
      </c>
      <c r="AG49" t="s">
        <v>231</v>
      </c>
      <c r="AH49">
        <v>1.003E-3</v>
      </c>
      <c r="AI49" t="s">
        <v>414</v>
      </c>
      <c r="AK49" s="6" t="s">
        <v>230</v>
      </c>
      <c r="AL49" t="s">
        <v>135</v>
      </c>
      <c r="AM49" t="s">
        <v>231</v>
      </c>
      <c r="AN49">
        <v>6.1950000000000004E-4</v>
      </c>
      <c r="AO49" t="s">
        <v>414</v>
      </c>
    </row>
    <row r="50" spans="1:41">
      <c r="A50" s="6" t="s">
        <v>232</v>
      </c>
      <c r="B50" t="s">
        <v>135</v>
      </c>
      <c r="C50" t="s">
        <v>233</v>
      </c>
      <c r="D50" t="s">
        <v>10</v>
      </c>
      <c r="E50" t="s">
        <v>383</v>
      </c>
      <c r="G50" s="6" t="s">
        <v>232</v>
      </c>
      <c r="H50" t="s">
        <v>135</v>
      </c>
      <c r="I50" t="s">
        <v>233</v>
      </c>
      <c r="J50" t="s">
        <v>10</v>
      </c>
      <c r="K50" t="s">
        <v>383</v>
      </c>
      <c r="M50" s="6" t="s">
        <v>232</v>
      </c>
      <c r="N50" t="s">
        <v>135</v>
      </c>
      <c r="O50" t="s">
        <v>233</v>
      </c>
      <c r="P50" t="s">
        <v>10</v>
      </c>
      <c r="Q50" t="s">
        <v>383</v>
      </c>
      <c r="S50" s="6" t="s">
        <v>232</v>
      </c>
      <c r="T50" t="s">
        <v>135</v>
      </c>
      <c r="U50" t="s">
        <v>233</v>
      </c>
      <c r="V50" t="s">
        <v>10</v>
      </c>
      <c r="W50" t="s">
        <v>383</v>
      </c>
      <c r="Y50" s="6" t="s">
        <v>232</v>
      </c>
      <c r="Z50" t="s">
        <v>135</v>
      </c>
      <c r="AA50" t="s">
        <v>233</v>
      </c>
      <c r="AB50" t="s">
        <v>10</v>
      </c>
      <c r="AC50" t="s">
        <v>383</v>
      </c>
      <c r="AE50" s="6" t="s">
        <v>232</v>
      </c>
      <c r="AF50" t="s">
        <v>135</v>
      </c>
      <c r="AG50" t="s">
        <v>233</v>
      </c>
      <c r="AH50" t="s">
        <v>10</v>
      </c>
      <c r="AI50" t="s">
        <v>383</v>
      </c>
      <c r="AK50" s="6" t="s">
        <v>232</v>
      </c>
      <c r="AL50" t="s">
        <v>135</v>
      </c>
      <c r="AM50" t="s">
        <v>233</v>
      </c>
      <c r="AN50" t="s">
        <v>10</v>
      </c>
      <c r="AO50" t="s">
        <v>383</v>
      </c>
    </row>
    <row r="51" spans="1:41">
      <c r="A51" s="6" t="s">
        <v>234</v>
      </c>
      <c r="B51" t="s">
        <v>135</v>
      </c>
      <c r="C51" t="s">
        <v>235</v>
      </c>
      <c r="D51" t="s">
        <v>10</v>
      </c>
      <c r="E51" t="s">
        <v>383</v>
      </c>
      <c r="G51" s="6" t="s">
        <v>234</v>
      </c>
      <c r="H51" t="s">
        <v>135</v>
      </c>
      <c r="I51" t="s">
        <v>235</v>
      </c>
      <c r="J51" t="s">
        <v>10</v>
      </c>
      <c r="K51" t="s">
        <v>383</v>
      </c>
      <c r="M51" s="6" t="s">
        <v>234</v>
      </c>
      <c r="N51" t="s">
        <v>135</v>
      </c>
      <c r="O51" t="s">
        <v>235</v>
      </c>
      <c r="P51" t="s">
        <v>10</v>
      </c>
      <c r="Q51" t="s">
        <v>383</v>
      </c>
      <c r="S51" s="6" t="s">
        <v>234</v>
      </c>
      <c r="T51" t="s">
        <v>135</v>
      </c>
      <c r="U51" t="s">
        <v>235</v>
      </c>
      <c r="V51" t="s">
        <v>10</v>
      </c>
      <c r="W51" t="s">
        <v>383</v>
      </c>
      <c r="Y51" s="6" t="s">
        <v>234</v>
      </c>
      <c r="Z51" t="s">
        <v>135</v>
      </c>
      <c r="AA51" t="s">
        <v>235</v>
      </c>
      <c r="AB51" t="s">
        <v>10</v>
      </c>
      <c r="AC51" t="s">
        <v>383</v>
      </c>
      <c r="AE51" s="6" t="s">
        <v>234</v>
      </c>
      <c r="AF51" t="s">
        <v>135</v>
      </c>
      <c r="AG51" t="s">
        <v>235</v>
      </c>
      <c r="AH51" t="s">
        <v>10</v>
      </c>
      <c r="AI51" t="s">
        <v>383</v>
      </c>
      <c r="AK51" s="6" t="s">
        <v>234</v>
      </c>
      <c r="AL51" t="s">
        <v>135</v>
      </c>
      <c r="AM51" t="s">
        <v>235</v>
      </c>
      <c r="AN51" t="s">
        <v>10</v>
      </c>
      <c r="AO51" t="s">
        <v>383</v>
      </c>
    </row>
    <row r="52" spans="1:41">
      <c r="A52" s="6" t="s">
        <v>236</v>
      </c>
      <c r="B52" t="s">
        <v>422</v>
      </c>
      <c r="C52" t="s">
        <v>237</v>
      </c>
      <c r="D52">
        <v>2.1866566336977519E-2</v>
      </c>
      <c r="E52" t="s">
        <v>423</v>
      </c>
      <c r="G52" s="6" t="s">
        <v>236</v>
      </c>
      <c r="H52" t="s">
        <v>422</v>
      </c>
      <c r="I52" t="s">
        <v>237</v>
      </c>
      <c r="J52" t="s">
        <v>10</v>
      </c>
      <c r="K52" t="s">
        <v>383</v>
      </c>
      <c r="M52" s="6" t="s">
        <v>236</v>
      </c>
      <c r="N52" t="s">
        <v>422</v>
      </c>
      <c r="O52" t="s">
        <v>237</v>
      </c>
      <c r="P52" t="s">
        <v>10</v>
      </c>
      <c r="Q52" t="s">
        <v>383</v>
      </c>
      <c r="S52" s="6" t="s">
        <v>236</v>
      </c>
      <c r="T52" t="s">
        <v>422</v>
      </c>
      <c r="U52" t="s">
        <v>237</v>
      </c>
      <c r="V52" t="s">
        <v>10</v>
      </c>
      <c r="W52" t="s">
        <v>383</v>
      </c>
      <c r="Y52" s="6" t="s">
        <v>236</v>
      </c>
      <c r="Z52" t="s">
        <v>422</v>
      </c>
      <c r="AA52" t="s">
        <v>237</v>
      </c>
      <c r="AB52" t="s">
        <v>10</v>
      </c>
      <c r="AC52" t="s">
        <v>383</v>
      </c>
      <c r="AE52" s="6" t="s">
        <v>236</v>
      </c>
      <c r="AF52" t="s">
        <v>422</v>
      </c>
      <c r="AG52" t="s">
        <v>237</v>
      </c>
      <c r="AH52">
        <v>2.3675048355899413E-5</v>
      </c>
      <c r="AI52" t="s">
        <v>414</v>
      </c>
      <c r="AK52" s="6" t="s">
        <v>236</v>
      </c>
      <c r="AL52" t="s">
        <v>422</v>
      </c>
      <c r="AM52" t="s">
        <v>237</v>
      </c>
      <c r="AN52">
        <v>1.4622823984526111E-5</v>
      </c>
      <c r="AO52" t="s">
        <v>414</v>
      </c>
    </row>
    <row r="53" spans="1:41">
      <c r="A53" s="6" t="s">
        <v>240</v>
      </c>
      <c r="B53" t="s">
        <v>422</v>
      </c>
      <c r="C53" t="s">
        <v>241</v>
      </c>
      <c r="D53" t="s">
        <v>10</v>
      </c>
      <c r="E53" t="s">
        <v>383</v>
      </c>
      <c r="G53" s="6" t="s">
        <v>240</v>
      </c>
      <c r="H53" t="s">
        <v>422</v>
      </c>
      <c r="I53" t="s">
        <v>241</v>
      </c>
      <c r="J53" t="s">
        <v>10</v>
      </c>
      <c r="K53" t="s">
        <v>383</v>
      </c>
      <c r="M53" s="6" t="s">
        <v>240</v>
      </c>
      <c r="N53" t="s">
        <v>422</v>
      </c>
      <c r="O53" t="s">
        <v>241</v>
      </c>
      <c r="P53" t="s">
        <v>10</v>
      </c>
      <c r="Q53" t="s">
        <v>383</v>
      </c>
      <c r="S53" s="6" t="s">
        <v>240</v>
      </c>
      <c r="T53" t="s">
        <v>422</v>
      </c>
      <c r="U53" t="s">
        <v>241</v>
      </c>
      <c r="V53" t="s">
        <v>10</v>
      </c>
      <c r="W53" t="s">
        <v>383</v>
      </c>
      <c r="Y53" s="6" t="s">
        <v>240</v>
      </c>
      <c r="Z53" t="s">
        <v>422</v>
      </c>
      <c r="AA53" t="s">
        <v>241</v>
      </c>
      <c r="AB53" t="s">
        <v>10</v>
      </c>
      <c r="AC53" t="s">
        <v>383</v>
      </c>
      <c r="AE53" s="6" t="s">
        <v>240</v>
      </c>
      <c r="AF53" t="s">
        <v>422</v>
      </c>
      <c r="AG53" t="s">
        <v>241</v>
      </c>
      <c r="AH53" t="s">
        <v>10</v>
      </c>
      <c r="AI53" t="s">
        <v>383</v>
      </c>
      <c r="AK53" s="6" t="s">
        <v>240</v>
      </c>
      <c r="AL53" t="s">
        <v>422</v>
      </c>
      <c r="AM53" t="s">
        <v>241</v>
      </c>
      <c r="AN53" t="s">
        <v>10</v>
      </c>
      <c r="AO53" t="s">
        <v>383</v>
      </c>
    </row>
    <row r="54" spans="1:41">
      <c r="A54" s="6" t="s">
        <v>242</v>
      </c>
      <c r="B54" t="s">
        <v>135</v>
      </c>
      <c r="C54" t="s">
        <v>243</v>
      </c>
      <c r="D54" t="s">
        <v>10</v>
      </c>
      <c r="E54" t="s">
        <v>383</v>
      </c>
      <c r="G54" s="6" t="s">
        <v>242</v>
      </c>
      <c r="H54" t="s">
        <v>135</v>
      </c>
      <c r="I54" t="s">
        <v>243</v>
      </c>
      <c r="J54" t="s">
        <v>10</v>
      </c>
      <c r="K54" t="s">
        <v>383</v>
      </c>
      <c r="M54" s="6" t="s">
        <v>242</v>
      </c>
      <c r="N54" t="s">
        <v>135</v>
      </c>
      <c r="O54" t="s">
        <v>243</v>
      </c>
      <c r="P54" t="s">
        <v>10</v>
      </c>
      <c r="Q54" t="s">
        <v>383</v>
      </c>
      <c r="S54" s="6" t="s">
        <v>242</v>
      </c>
      <c r="T54" t="s">
        <v>135</v>
      </c>
      <c r="U54" t="s">
        <v>243</v>
      </c>
      <c r="V54" t="s">
        <v>10</v>
      </c>
      <c r="W54" t="s">
        <v>383</v>
      </c>
      <c r="Y54" s="6" t="s">
        <v>242</v>
      </c>
      <c r="Z54" t="s">
        <v>135</v>
      </c>
      <c r="AA54" t="s">
        <v>243</v>
      </c>
      <c r="AB54" t="s">
        <v>10</v>
      </c>
      <c r="AC54" t="s">
        <v>383</v>
      </c>
      <c r="AE54" s="6" t="s">
        <v>242</v>
      </c>
      <c r="AF54" t="s">
        <v>135</v>
      </c>
      <c r="AG54" t="s">
        <v>243</v>
      </c>
      <c r="AH54" t="s">
        <v>10</v>
      </c>
      <c r="AI54" t="s">
        <v>383</v>
      </c>
      <c r="AK54" s="6" t="s">
        <v>242</v>
      </c>
      <c r="AL54" t="s">
        <v>135</v>
      </c>
      <c r="AM54" t="s">
        <v>243</v>
      </c>
      <c r="AN54" t="s">
        <v>10</v>
      </c>
      <c r="AO54" t="s">
        <v>383</v>
      </c>
    </row>
    <row r="55" spans="1:41">
      <c r="A55" s="6" t="s">
        <v>246</v>
      </c>
      <c r="B55" t="s">
        <v>362</v>
      </c>
      <c r="C55" t="s">
        <v>247</v>
      </c>
      <c r="D55">
        <v>5.1902999999999998E-2</v>
      </c>
      <c r="E55" t="s">
        <v>414</v>
      </c>
      <c r="G55" s="6" t="s">
        <v>246</v>
      </c>
      <c r="H55" t="s">
        <v>362</v>
      </c>
      <c r="I55" t="s">
        <v>247</v>
      </c>
      <c r="J55" t="s">
        <v>10</v>
      </c>
      <c r="K55" t="s">
        <v>383</v>
      </c>
      <c r="M55" s="6" t="s">
        <v>246</v>
      </c>
      <c r="N55" t="s">
        <v>362</v>
      </c>
      <c r="O55" t="s">
        <v>247</v>
      </c>
      <c r="P55" t="s">
        <v>10</v>
      </c>
      <c r="Q55" t="s">
        <v>383</v>
      </c>
      <c r="S55" s="6" t="s">
        <v>246</v>
      </c>
      <c r="T55" t="s">
        <v>362</v>
      </c>
      <c r="U55" t="s">
        <v>247</v>
      </c>
      <c r="V55" t="s">
        <v>10</v>
      </c>
      <c r="W55" t="s">
        <v>383</v>
      </c>
      <c r="Y55" s="6" t="s">
        <v>246</v>
      </c>
      <c r="Z55" t="s">
        <v>362</v>
      </c>
      <c r="AA55" t="s">
        <v>247</v>
      </c>
      <c r="AB55" t="s">
        <v>10</v>
      </c>
      <c r="AC55" t="s">
        <v>383</v>
      </c>
      <c r="AE55" s="6" t="s">
        <v>246</v>
      </c>
      <c r="AF55" t="s">
        <v>362</v>
      </c>
      <c r="AG55" t="s">
        <v>247</v>
      </c>
      <c r="AH55" t="s">
        <v>10</v>
      </c>
      <c r="AI55" t="s">
        <v>383</v>
      </c>
      <c r="AK55" s="6" t="s">
        <v>246</v>
      </c>
      <c r="AL55" t="s">
        <v>362</v>
      </c>
      <c r="AM55" t="s">
        <v>247</v>
      </c>
      <c r="AN55" t="s">
        <v>10</v>
      </c>
      <c r="AO55" t="s">
        <v>383</v>
      </c>
    </row>
    <row r="56" spans="1:41">
      <c r="A56" s="6" t="s">
        <v>249</v>
      </c>
      <c r="B56" t="s">
        <v>362</v>
      </c>
      <c r="C56" t="s">
        <v>250</v>
      </c>
      <c r="D56">
        <v>7.8839999999999997E-5</v>
      </c>
      <c r="E56" t="s">
        <v>414</v>
      </c>
      <c r="G56" s="6" t="s">
        <v>249</v>
      </c>
      <c r="H56" t="s">
        <v>362</v>
      </c>
      <c r="I56" t="s">
        <v>250</v>
      </c>
      <c r="J56" t="s">
        <v>10</v>
      </c>
      <c r="K56" t="s">
        <v>383</v>
      </c>
      <c r="M56" s="6" t="s">
        <v>249</v>
      </c>
      <c r="N56" t="s">
        <v>362</v>
      </c>
      <c r="O56" t="s">
        <v>250</v>
      </c>
      <c r="P56" t="s">
        <v>10</v>
      </c>
      <c r="Q56" t="s">
        <v>383</v>
      </c>
      <c r="S56" s="6" t="s">
        <v>249</v>
      </c>
      <c r="T56" t="s">
        <v>362</v>
      </c>
      <c r="U56" t="s">
        <v>250</v>
      </c>
      <c r="V56" t="s">
        <v>10</v>
      </c>
      <c r="W56" t="s">
        <v>383</v>
      </c>
      <c r="Y56" s="6" t="s">
        <v>249</v>
      </c>
      <c r="Z56" t="s">
        <v>362</v>
      </c>
      <c r="AA56" t="s">
        <v>250</v>
      </c>
      <c r="AB56" t="s">
        <v>10</v>
      </c>
      <c r="AC56" t="s">
        <v>383</v>
      </c>
      <c r="AE56" s="6" t="s">
        <v>249</v>
      </c>
      <c r="AF56" t="s">
        <v>362</v>
      </c>
      <c r="AG56" t="s">
        <v>250</v>
      </c>
      <c r="AH56" t="s">
        <v>10</v>
      </c>
      <c r="AI56" t="s">
        <v>383</v>
      </c>
      <c r="AK56" s="6" t="s">
        <v>249</v>
      </c>
      <c r="AL56" t="s">
        <v>362</v>
      </c>
      <c r="AM56" t="s">
        <v>250</v>
      </c>
      <c r="AN56" t="s">
        <v>10</v>
      </c>
      <c r="AO56" t="s">
        <v>383</v>
      </c>
    </row>
    <row r="57" spans="1:41">
      <c r="A57" s="6" t="s">
        <v>252</v>
      </c>
      <c r="B57" t="s">
        <v>135</v>
      </c>
      <c r="C57" t="s">
        <v>253</v>
      </c>
      <c r="D57" t="s">
        <v>10</v>
      </c>
      <c r="E57" t="s">
        <v>383</v>
      </c>
      <c r="G57" s="6" t="s">
        <v>252</v>
      </c>
      <c r="H57" t="s">
        <v>135</v>
      </c>
      <c r="I57" t="s">
        <v>253</v>
      </c>
      <c r="J57" t="s">
        <v>10</v>
      </c>
      <c r="K57" t="s">
        <v>383</v>
      </c>
      <c r="M57" s="6" t="s">
        <v>252</v>
      </c>
      <c r="N57" t="s">
        <v>135</v>
      </c>
      <c r="O57" t="s">
        <v>253</v>
      </c>
      <c r="P57" t="s">
        <v>10</v>
      </c>
      <c r="Q57" t="s">
        <v>383</v>
      </c>
      <c r="S57" s="6" t="s">
        <v>252</v>
      </c>
      <c r="T57" t="s">
        <v>135</v>
      </c>
      <c r="U57" t="s">
        <v>253</v>
      </c>
      <c r="V57" t="s">
        <v>10</v>
      </c>
      <c r="W57" t="s">
        <v>383</v>
      </c>
      <c r="Y57" s="6" t="s">
        <v>252</v>
      </c>
      <c r="Z57" t="s">
        <v>135</v>
      </c>
      <c r="AA57" t="s">
        <v>253</v>
      </c>
      <c r="AB57" t="s">
        <v>10</v>
      </c>
      <c r="AC57" t="s">
        <v>383</v>
      </c>
      <c r="AE57" s="6" t="s">
        <v>252</v>
      </c>
      <c r="AF57" t="s">
        <v>135</v>
      </c>
      <c r="AG57" t="s">
        <v>253</v>
      </c>
      <c r="AH57" t="s">
        <v>10</v>
      </c>
      <c r="AI57" t="s">
        <v>383</v>
      </c>
      <c r="AK57" s="6" t="s">
        <v>252</v>
      </c>
      <c r="AL57" t="s">
        <v>135</v>
      </c>
      <c r="AM57" t="s">
        <v>253</v>
      </c>
      <c r="AN57" t="s">
        <v>10</v>
      </c>
      <c r="AO57" t="s">
        <v>383</v>
      </c>
    </row>
    <row r="58" spans="1:41">
      <c r="A58" s="6" t="s">
        <v>254</v>
      </c>
      <c r="B58" t="s">
        <v>135</v>
      </c>
      <c r="C58" t="s">
        <v>255</v>
      </c>
      <c r="D58" t="s">
        <v>10</v>
      </c>
      <c r="E58" t="s">
        <v>383</v>
      </c>
      <c r="G58" s="6" t="s">
        <v>254</v>
      </c>
      <c r="H58" t="s">
        <v>135</v>
      </c>
      <c r="I58" t="s">
        <v>255</v>
      </c>
      <c r="J58" t="s">
        <v>10</v>
      </c>
      <c r="K58" t="s">
        <v>383</v>
      </c>
      <c r="M58" s="6" t="s">
        <v>254</v>
      </c>
      <c r="N58" t="s">
        <v>135</v>
      </c>
      <c r="O58" t="s">
        <v>255</v>
      </c>
      <c r="P58" t="s">
        <v>10</v>
      </c>
      <c r="Q58" t="s">
        <v>383</v>
      </c>
      <c r="S58" s="6" t="s">
        <v>254</v>
      </c>
      <c r="T58" t="s">
        <v>135</v>
      </c>
      <c r="U58" t="s">
        <v>255</v>
      </c>
      <c r="V58" t="s">
        <v>10</v>
      </c>
      <c r="W58" t="s">
        <v>383</v>
      </c>
      <c r="Y58" s="6" t="s">
        <v>254</v>
      </c>
      <c r="Z58" t="s">
        <v>135</v>
      </c>
      <c r="AA58" t="s">
        <v>255</v>
      </c>
      <c r="AB58" t="s">
        <v>10</v>
      </c>
      <c r="AC58" t="s">
        <v>383</v>
      </c>
      <c r="AE58" s="6" t="s">
        <v>254</v>
      </c>
      <c r="AF58" t="s">
        <v>135</v>
      </c>
      <c r="AG58" t="s">
        <v>255</v>
      </c>
      <c r="AH58" t="s">
        <v>10</v>
      </c>
      <c r="AI58" t="s">
        <v>383</v>
      </c>
      <c r="AK58" s="6" t="s">
        <v>254</v>
      </c>
      <c r="AL58" t="s">
        <v>135</v>
      </c>
      <c r="AM58" t="s">
        <v>255</v>
      </c>
      <c r="AN58" t="s">
        <v>10</v>
      </c>
      <c r="AO58" t="s">
        <v>383</v>
      </c>
    </row>
    <row r="59" spans="1:41">
      <c r="A59" s="6" t="s">
        <v>256</v>
      </c>
      <c r="B59" t="s">
        <v>135</v>
      </c>
      <c r="C59" t="s">
        <v>257</v>
      </c>
      <c r="D59" t="s">
        <v>10</v>
      </c>
      <c r="E59" t="s">
        <v>383</v>
      </c>
      <c r="G59" s="6" t="s">
        <v>256</v>
      </c>
      <c r="H59" t="s">
        <v>135</v>
      </c>
      <c r="I59" t="s">
        <v>257</v>
      </c>
      <c r="J59" t="s">
        <v>10</v>
      </c>
      <c r="K59" t="s">
        <v>383</v>
      </c>
      <c r="M59" s="6" t="s">
        <v>256</v>
      </c>
      <c r="N59" t="s">
        <v>135</v>
      </c>
      <c r="O59" t="s">
        <v>257</v>
      </c>
      <c r="P59" t="s">
        <v>10</v>
      </c>
      <c r="Q59" t="s">
        <v>383</v>
      </c>
      <c r="S59" s="6" t="s">
        <v>256</v>
      </c>
      <c r="T59" t="s">
        <v>135</v>
      </c>
      <c r="U59" t="s">
        <v>257</v>
      </c>
      <c r="V59" t="s">
        <v>10</v>
      </c>
      <c r="W59" t="s">
        <v>383</v>
      </c>
      <c r="Y59" s="6" t="s">
        <v>256</v>
      </c>
      <c r="Z59" t="s">
        <v>135</v>
      </c>
      <c r="AA59" t="s">
        <v>257</v>
      </c>
      <c r="AB59" t="s">
        <v>10</v>
      </c>
      <c r="AC59" t="s">
        <v>383</v>
      </c>
      <c r="AE59" s="6" t="s">
        <v>256</v>
      </c>
      <c r="AF59" t="s">
        <v>135</v>
      </c>
      <c r="AG59" t="s">
        <v>257</v>
      </c>
      <c r="AH59" t="s">
        <v>10</v>
      </c>
      <c r="AI59" t="s">
        <v>383</v>
      </c>
      <c r="AK59" s="6" t="s">
        <v>256</v>
      </c>
      <c r="AL59" t="s">
        <v>135</v>
      </c>
      <c r="AM59" t="s">
        <v>257</v>
      </c>
      <c r="AN59" t="s">
        <v>10</v>
      </c>
      <c r="AO59" t="s">
        <v>383</v>
      </c>
    </row>
    <row r="60" spans="1:41">
      <c r="A60" s="6" t="s">
        <v>258</v>
      </c>
      <c r="B60" t="s">
        <v>135</v>
      </c>
      <c r="C60" t="s">
        <v>259</v>
      </c>
      <c r="D60" t="s">
        <v>10</v>
      </c>
      <c r="E60" t="s">
        <v>383</v>
      </c>
      <c r="G60" s="6" t="s">
        <v>258</v>
      </c>
      <c r="H60" t="s">
        <v>135</v>
      </c>
      <c r="I60" t="s">
        <v>259</v>
      </c>
      <c r="J60" t="s">
        <v>10</v>
      </c>
      <c r="K60" t="s">
        <v>383</v>
      </c>
      <c r="M60" s="6" t="s">
        <v>258</v>
      </c>
      <c r="N60" t="s">
        <v>135</v>
      </c>
      <c r="O60" t="s">
        <v>259</v>
      </c>
      <c r="P60" t="s">
        <v>10</v>
      </c>
      <c r="Q60" t="s">
        <v>383</v>
      </c>
      <c r="S60" s="6" t="s">
        <v>258</v>
      </c>
      <c r="T60" t="s">
        <v>135</v>
      </c>
      <c r="U60" t="s">
        <v>259</v>
      </c>
      <c r="V60" t="s">
        <v>10</v>
      </c>
      <c r="W60" t="s">
        <v>383</v>
      </c>
      <c r="Y60" s="6" t="s">
        <v>258</v>
      </c>
      <c r="Z60" t="s">
        <v>135</v>
      </c>
      <c r="AA60" t="s">
        <v>259</v>
      </c>
      <c r="AB60" t="s">
        <v>10</v>
      </c>
      <c r="AC60" t="s">
        <v>383</v>
      </c>
      <c r="AE60" s="6" t="s">
        <v>258</v>
      </c>
      <c r="AF60" t="s">
        <v>135</v>
      </c>
      <c r="AG60" t="s">
        <v>259</v>
      </c>
      <c r="AH60" t="s">
        <v>10</v>
      </c>
      <c r="AI60" t="s">
        <v>383</v>
      </c>
      <c r="AK60" s="6" t="s">
        <v>258</v>
      </c>
      <c r="AL60" t="s">
        <v>135</v>
      </c>
      <c r="AM60" t="s">
        <v>259</v>
      </c>
      <c r="AN60" t="s">
        <v>10</v>
      </c>
      <c r="AO60" t="s">
        <v>383</v>
      </c>
    </row>
    <row r="61" spans="1:41">
      <c r="A61" s="6" t="s">
        <v>260</v>
      </c>
      <c r="B61" t="s">
        <v>135</v>
      </c>
      <c r="C61" t="s">
        <v>261</v>
      </c>
      <c r="D61" t="s">
        <v>10</v>
      </c>
      <c r="E61" t="s">
        <v>383</v>
      </c>
      <c r="G61" s="6" t="s">
        <v>260</v>
      </c>
      <c r="H61" t="s">
        <v>135</v>
      </c>
      <c r="I61" t="s">
        <v>261</v>
      </c>
      <c r="J61" t="s">
        <v>10</v>
      </c>
      <c r="K61" t="s">
        <v>383</v>
      </c>
      <c r="M61" s="6" t="s">
        <v>260</v>
      </c>
      <c r="N61" t="s">
        <v>135</v>
      </c>
      <c r="O61" t="s">
        <v>261</v>
      </c>
      <c r="P61" t="s">
        <v>10</v>
      </c>
      <c r="Q61" t="s">
        <v>383</v>
      </c>
      <c r="S61" s="6" t="s">
        <v>260</v>
      </c>
      <c r="T61" t="s">
        <v>135</v>
      </c>
      <c r="U61" t="s">
        <v>261</v>
      </c>
      <c r="V61" t="s">
        <v>10</v>
      </c>
      <c r="W61" t="s">
        <v>383</v>
      </c>
      <c r="Y61" s="6" t="s">
        <v>260</v>
      </c>
      <c r="Z61" t="s">
        <v>135</v>
      </c>
      <c r="AA61" t="s">
        <v>261</v>
      </c>
      <c r="AB61" t="s">
        <v>10</v>
      </c>
      <c r="AC61" t="s">
        <v>383</v>
      </c>
      <c r="AE61" s="6" t="s">
        <v>260</v>
      </c>
      <c r="AF61" t="s">
        <v>135</v>
      </c>
      <c r="AG61" t="s">
        <v>261</v>
      </c>
      <c r="AH61" t="s">
        <v>10</v>
      </c>
      <c r="AI61" t="s">
        <v>383</v>
      </c>
      <c r="AK61" s="6" t="s">
        <v>260</v>
      </c>
      <c r="AL61" t="s">
        <v>135</v>
      </c>
      <c r="AM61" t="s">
        <v>261</v>
      </c>
      <c r="AN61" t="s">
        <v>10</v>
      </c>
      <c r="AO61" t="s">
        <v>383</v>
      </c>
    </row>
    <row r="62" spans="1:41">
      <c r="A62" s="6" t="s">
        <v>262</v>
      </c>
      <c r="B62" t="s">
        <v>135</v>
      </c>
      <c r="C62" t="s">
        <v>263</v>
      </c>
      <c r="D62" t="s">
        <v>10</v>
      </c>
      <c r="E62" t="s">
        <v>383</v>
      </c>
      <c r="G62" s="6" t="s">
        <v>262</v>
      </c>
      <c r="H62" t="s">
        <v>135</v>
      </c>
      <c r="I62" t="s">
        <v>263</v>
      </c>
      <c r="J62" t="s">
        <v>10</v>
      </c>
      <c r="K62" t="s">
        <v>383</v>
      </c>
      <c r="M62" s="6" t="s">
        <v>262</v>
      </c>
      <c r="N62" t="s">
        <v>135</v>
      </c>
      <c r="O62" t="s">
        <v>263</v>
      </c>
      <c r="P62" t="s">
        <v>10</v>
      </c>
      <c r="Q62" t="s">
        <v>383</v>
      </c>
      <c r="S62" s="6" t="s">
        <v>262</v>
      </c>
      <c r="T62" t="s">
        <v>135</v>
      </c>
      <c r="U62" t="s">
        <v>263</v>
      </c>
      <c r="V62" t="s">
        <v>10</v>
      </c>
      <c r="W62" t="s">
        <v>383</v>
      </c>
      <c r="Y62" s="6" t="s">
        <v>262</v>
      </c>
      <c r="Z62" t="s">
        <v>135</v>
      </c>
      <c r="AA62" t="s">
        <v>263</v>
      </c>
      <c r="AB62" t="s">
        <v>10</v>
      </c>
      <c r="AC62" t="s">
        <v>383</v>
      </c>
      <c r="AE62" s="6" t="s">
        <v>262</v>
      </c>
      <c r="AF62" t="s">
        <v>135</v>
      </c>
      <c r="AG62" t="s">
        <v>263</v>
      </c>
      <c r="AH62" t="s">
        <v>10</v>
      </c>
      <c r="AI62" t="s">
        <v>383</v>
      </c>
      <c r="AK62" s="6" t="s">
        <v>262</v>
      </c>
      <c r="AL62" t="s">
        <v>135</v>
      </c>
      <c r="AM62" t="s">
        <v>263</v>
      </c>
      <c r="AN62" t="s">
        <v>10</v>
      </c>
      <c r="AO62" t="s">
        <v>383</v>
      </c>
    </row>
    <row r="63" spans="1:41">
      <c r="A63" s="6" t="s">
        <v>264</v>
      </c>
      <c r="B63" t="s">
        <v>135</v>
      </c>
      <c r="C63" t="s">
        <v>265</v>
      </c>
      <c r="D63">
        <v>2.2994999999999995E-3</v>
      </c>
      <c r="E63" t="s">
        <v>414</v>
      </c>
      <c r="G63" s="6" t="s">
        <v>264</v>
      </c>
      <c r="H63" t="s">
        <v>135</v>
      </c>
      <c r="I63" t="s">
        <v>265</v>
      </c>
      <c r="J63">
        <v>1.3665600000000004E-3</v>
      </c>
      <c r="K63" t="s">
        <v>414</v>
      </c>
      <c r="M63" s="6" t="s">
        <v>264</v>
      </c>
      <c r="N63" t="s">
        <v>135</v>
      </c>
      <c r="O63" t="s">
        <v>265</v>
      </c>
      <c r="P63">
        <v>1.3665600000000004E-3</v>
      </c>
      <c r="Q63" t="s">
        <v>414</v>
      </c>
      <c r="S63" s="6" t="s">
        <v>264</v>
      </c>
      <c r="T63" t="s">
        <v>135</v>
      </c>
      <c r="U63" t="s">
        <v>265</v>
      </c>
      <c r="V63">
        <v>1.3665600000000004E-3</v>
      </c>
      <c r="W63" t="s">
        <v>414</v>
      </c>
      <c r="Y63" s="6" t="s">
        <v>264</v>
      </c>
      <c r="Z63" t="s">
        <v>135</v>
      </c>
      <c r="AA63" t="s">
        <v>265</v>
      </c>
      <c r="AB63" t="s">
        <v>10</v>
      </c>
      <c r="AC63" t="s">
        <v>383</v>
      </c>
      <c r="AE63" s="6" t="s">
        <v>264</v>
      </c>
      <c r="AF63" t="s">
        <v>135</v>
      </c>
      <c r="AG63" t="s">
        <v>265</v>
      </c>
      <c r="AH63">
        <v>7.2079999999999974E-5</v>
      </c>
      <c r="AI63" t="s">
        <v>414</v>
      </c>
      <c r="AK63" s="6" t="s">
        <v>264</v>
      </c>
      <c r="AL63" t="s">
        <v>135</v>
      </c>
      <c r="AM63" t="s">
        <v>265</v>
      </c>
      <c r="AN63">
        <v>4.4520000000000001E-5</v>
      </c>
      <c r="AO63" t="s">
        <v>414</v>
      </c>
    </row>
    <row r="64" spans="1:41">
      <c r="A64" s="6" t="s">
        <v>266</v>
      </c>
      <c r="B64" t="s">
        <v>362</v>
      </c>
      <c r="C64" t="s">
        <v>267</v>
      </c>
      <c r="D64">
        <v>3.0221999999999996E-4</v>
      </c>
      <c r="E64" t="s">
        <v>414</v>
      </c>
      <c r="G64" s="6" t="s">
        <v>266</v>
      </c>
      <c r="H64" t="s">
        <v>362</v>
      </c>
      <c r="I64" t="s">
        <v>267</v>
      </c>
      <c r="J64" t="s">
        <v>10</v>
      </c>
      <c r="K64" t="s">
        <v>383</v>
      </c>
      <c r="M64" s="6" t="s">
        <v>266</v>
      </c>
      <c r="N64" t="s">
        <v>362</v>
      </c>
      <c r="O64" t="s">
        <v>267</v>
      </c>
      <c r="P64" t="s">
        <v>10</v>
      </c>
      <c r="Q64" t="s">
        <v>383</v>
      </c>
      <c r="S64" s="6" t="s">
        <v>266</v>
      </c>
      <c r="T64" t="s">
        <v>362</v>
      </c>
      <c r="U64" t="s">
        <v>267</v>
      </c>
      <c r="V64" t="s">
        <v>10</v>
      </c>
      <c r="W64" t="s">
        <v>383</v>
      </c>
      <c r="Y64" s="6" t="s">
        <v>266</v>
      </c>
      <c r="Z64" t="s">
        <v>362</v>
      </c>
      <c r="AA64" t="s">
        <v>267</v>
      </c>
      <c r="AB64" t="s">
        <v>10</v>
      </c>
      <c r="AC64" t="s">
        <v>383</v>
      </c>
      <c r="AE64" s="6" t="s">
        <v>266</v>
      </c>
      <c r="AF64" t="s">
        <v>362</v>
      </c>
      <c r="AG64" t="s">
        <v>267</v>
      </c>
      <c r="AH64" t="s">
        <v>10</v>
      </c>
      <c r="AI64" t="s">
        <v>383</v>
      </c>
      <c r="AK64" s="6" t="s">
        <v>266</v>
      </c>
      <c r="AL64" t="s">
        <v>362</v>
      </c>
      <c r="AM64" t="s">
        <v>267</v>
      </c>
      <c r="AN64" t="s">
        <v>10</v>
      </c>
      <c r="AO64" t="s">
        <v>383</v>
      </c>
    </row>
    <row r="65" spans="1:41">
      <c r="A65" s="6" t="s">
        <v>268</v>
      </c>
      <c r="B65" t="s">
        <v>135</v>
      </c>
      <c r="C65" t="s">
        <v>269</v>
      </c>
      <c r="D65" t="s">
        <v>10</v>
      </c>
      <c r="E65" t="s">
        <v>383</v>
      </c>
      <c r="G65" s="6" t="s">
        <v>268</v>
      </c>
      <c r="H65" t="s">
        <v>135</v>
      </c>
      <c r="I65" t="s">
        <v>269</v>
      </c>
      <c r="J65" t="s">
        <v>10</v>
      </c>
      <c r="K65" t="s">
        <v>383</v>
      </c>
      <c r="M65" s="6" t="s">
        <v>268</v>
      </c>
      <c r="N65" t="s">
        <v>135</v>
      </c>
      <c r="O65" t="s">
        <v>269</v>
      </c>
      <c r="P65" t="s">
        <v>10</v>
      </c>
      <c r="Q65" t="s">
        <v>383</v>
      </c>
      <c r="S65" s="6" t="s">
        <v>268</v>
      </c>
      <c r="T65" t="s">
        <v>135</v>
      </c>
      <c r="U65" t="s">
        <v>269</v>
      </c>
      <c r="V65" t="s">
        <v>10</v>
      </c>
      <c r="W65" t="s">
        <v>383</v>
      </c>
      <c r="Y65" s="6" t="s">
        <v>268</v>
      </c>
      <c r="Z65" t="s">
        <v>135</v>
      </c>
      <c r="AA65" t="s">
        <v>269</v>
      </c>
      <c r="AB65" t="s">
        <v>10</v>
      </c>
      <c r="AC65" t="s">
        <v>383</v>
      </c>
      <c r="AE65" s="6" t="s">
        <v>268</v>
      </c>
      <c r="AF65" t="s">
        <v>135</v>
      </c>
      <c r="AG65" t="s">
        <v>269</v>
      </c>
      <c r="AH65" t="s">
        <v>10</v>
      </c>
      <c r="AI65" t="s">
        <v>383</v>
      </c>
      <c r="AK65" s="6" t="s">
        <v>268</v>
      </c>
      <c r="AL65" t="s">
        <v>135</v>
      </c>
      <c r="AM65" t="s">
        <v>269</v>
      </c>
      <c r="AN65" t="s">
        <v>10</v>
      </c>
      <c r="AO65" t="s">
        <v>383</v>
      </c>
    </row>
    <row r="66" spans="1:41">
      <c r="A66" s="6" t="s">
        <v>270</v>
      </c>
      <c r="B66" t="s">
        <v>135</v>
      </c>
      <c r="D66">
        <v>3.2850000000000002E-4</v>
      </c>
      <c r="E66" t="s">
        <v>414</v>
      </c>
      <c r="G66" s="6" t="s">
        <v>270</v>
      </c>
      <c r="H66" t="s">
        <v>135</v>
      </c>
      <c r="J66">
        <v>9.4608000000000018E-4</v>
      </c>
      <c r="K66" t="s">
        <v>414</v>
      </c>
      <c r="M66" s="6" t="s">
        <v>270</v>
      </c>
      <c r="N66" t="s">
        <v>135</v>
      </c>
      <c r="P66">
        <v>9.4608000000000018E-4</v>
      </c>
      <c r="Q66" t="s">
        <v>414</v>
      </c>
      <c r="S66" s="6" t="s">
        <v>270</v>
      </c>
      <c r="T66" t="s">
        <v>135</v>
      </c>
      <c r="V66">
        <v>9.4608000000000018E-4</v>
      </c>
      <c r="W66" t="s">
        <v>414</v>
      </c>
      <c r="Y66" s="6" t="s">
        <v>270</v>
      </c>
      <c r="Z66" t="s">
        <v>135</v>
      </c>
      <c r="AB66" t="s">
        <v>10</v>
      </c>
      <c r="AC66" t="s">
        <v>383</v>
      </c>
      <c r="AE66" s="6" t="s">
        <v>270</v>
      </c>
      <c r="AF66" t="s">
        <v>135</v>
      </c>
      <c r="AH66">
        <v>7.0719999999999973E-5</v>
      </c>
      <c r="AI66" t="s">
        <v>414</v>
      </c>
      <c r="AK66" s="6" t="s">
        <v>270</v>
      </c>
      <c r="AL66" t="s">
        <v>135</v>
      </c>
      <c r="AN66">
        <v>4.3680000000000002E-5</v>
      </c>
      <c r="AO66" t="s">
        <v>414</v>
      </c>
    </row>
    <row r="67" spans="1:41">
      <c r="A67" s="6" t="s">
        <v>271</v>
      </c>
      <c r="B67" t="s">
        <v>135</v>
      </c>
      <c r="C67" t="s">
        <v>272</v>
      </c>
      <c r="D67" t="s">
        <v>10</v>
      </c>
      <c r="E67" t="s">
        <v>383</v>
      </c>
      <c r="G67" s="6" t="s">
        <v>271</v>
      </c>
      <c r="H67" t="s">
        <v>135</v>
      </c>
      <c r="I67" t="s">
        <v>272</v>
      </c>
      <c r="J67" t="s">
        <v>10</v>
      </c>
      <c r="K67" t="s">
        <v>383</v>
      </c>
      <c r="M67" s="6" t="s">
        <v>271</v>
      </c>
      <c r="N67" t="s">
        <v>135</v>
      </c>
      <c r="O67" t="s">
        <v>272</v>
      </c>
      <c r="P67" t="s">
        <v>10</v>
      </c>
      <c r="Q67" t="s">
        <v>383</v>
      </c>
      <c r="S67" s="6" t="s">
        <v>271</v>
      </c>
      <c r="T67" t="s">
        <v>135</v>
      </c>
      <c r="U67" t="s">
        <v>272</v>
      </c>
      <c r="V67" t="s">
        <v>10</v>
      </c>
      <c r="W67" t="s">
        <v>383</v>
      </c>
      <c r="Y67" s="6" t="s">
        <v>271</v>
      </c>
      <c r="Z67" t="s">
        <v>135</v>
      </c>
      <c r="AA67" t="s">
        <v>272</v>
      </c>
      <c r="AB67" t="s">
        <v>10</v>
      </c>
      <c r="AC67" t="s">
        <v>383</v>
      </c>
      <c r="AE67" s="6" t="s">
        <v>271</v>
      </c>
      <c r="AF67" t="s">
        <v>135</v>
      </c>
      <c r="AG67" t="s">
        <v>272</v>
      </c>
      <c r="AH67" t="s">
        <v>10</v>
      </c>
      <c r="AI67" t="s">
        <v>383</v>
      </c>
      <c r="AK67" s="6" t="s">
        <v>271</v>
      </c>
      <c r="AL67" t="s">
        <v>135</v>
      </c>
      <c r="AM67" t="s">
        <v>272</v>
      </c>
      <c r="AN67" t="s">
        <v>10</v>
      </c>
      <c r="AO67" t="s">
        <v>383</v>
      </c>
    </row>
    <row r="68" spans="1:41">
      <c r="A68" s="6" t="s">
        <v>273</v>
      </c>
      <c r="B68" t="s">
        <v>135</v>
      </c>
      <c r="C68" t="s">
        <v>274</v>
      </c>
      <c r="D68" t="s">
        <v>10</v>
      </c>
      <c r="E68" t="s">
        <v>383</v>
      </c>
      <c r="G68" s="6" t="s">
        <v>273</v>
      </c>
      <c r="H68" t="s">
        <v>135</v>
      </c>
      <c r="I68" t="s">
        <v>274</v>
      </c>
      <c r="J68">
        <v>3.0484800000000006E-2</v>
      </c>
      <c r="K68" t="s">
        <v>414</v>
      </c>
      <c r="M68" s="6" t="s">
        <v>273</v>
      </c>
      <c r="N68" t="s">
        <v>135</v>
      </c>
      <c r="O68" t="s">
        <v>274</v>
      </c>
      <c r="P68">
        <v>3.0484800000000006E-2</v>
      </c>
      <c r="Q68" t="s">
        <v>414</v>
      </c>
      <c r="S68" s="6" t="s">
        <v>273</v>
      </c>
      <c r="T68" t="s">
        <v>135</v>
      </c>
      <c r="U68" t="s">
        <v>274</v>
      </c>
      <c r="V68">
        <v>3.0484800000000006E-2</v>
      </c>
      <c r="W68" t="s">
        <v>414</v>
      </c>
      <c r="Y68" s="6" t="s">
        <v>273</v>
      </c>
      <c r="Z68" t="s">
        <v>135</v>
      </c>
      <c r="AA68" t="s">
        <v>274</v>
      </c>
      <c r="AB68" t="s">
        <v>10</v>
      </c>
      <c r="AC68" t="s">
        <v>383</v>
      </c>
      <c r="AE68" s="6" t="s">
        <v>273</v>
      </c>
      <c r="AF68" t="s">
        <v>135</v>
      </c>
      <c r="AG68" t="s">
        <v>274</v>
      </c>
      <c r="AH68" t="s">
        <v>10</v>
      </c>
      <c r="AI68" t="s">
        <v>383</v>
      </c>
      <c r="AK68" s="6" t="s">
        <v>273</v>
      </c>
      <c r="AL68" t="s">
        <v>135</v>
      </c>
      <c r="AM68" t="s">
        <v>274</v>
      </c>
      <c r="AN68" t="s">
        <v>10</v>
      </c>
      <c r="AO68" t="s">
        <v>383</v>
      </c>
    </row>
    <row r="69" spans="1:41">
      <c r="A69" s="6" t="s">
        <v>275</v>
      </c>
      <c r="B69" t="s">
        <v>362</v>
      </c>
      <c r="C69" t="s">
        <v>276</v>
      </c>
      <c r="D69">
        <v>1.6425000000000001E-3</v>
      </c>
      <c r="E69" t="s">
        <v>414</v>
      </c>
      <c r="G69" s="6" t="s">
        <v>275</v>
      </c>
      <c r="H69" t="s">
        <v>362</v>
      </c>
      <c r="I69" t="s">
        <v>276</v>
      </c>
      <c r="J69" t="s">
        <v>10</v>
      </c>
      <c r="K69" t="s">
        <v>383</v>
      </c>
      <c r="M69" s="6" t="s">
        <v>275</v>
      </c>
      <c r="N69" t="s">
        <v>362</v>
      </c>
      <c r="O69" t="s">
        <v>276</v>
      </c>
      <c r="P69" t="s">
        <v>10</v>
      </c>
      <c r="Q69" t="s">
        <v>383</v>
      </c>
      <c r="S69" s="6" t="s">
        <v>275</v>
      </c>
      <c r="T69" t="s">
        <v>362</v>
      </c>
      <c r="U69" t="s">
        <v>276</v>
      </c>
      <c r="V69" t="s">
        <v>10</v>
      </c>
      <c r="W69" t="s">
        <v>383</v>
      </c>
      <c r="Y69" s="6" t="s">
        <v>275</v>
      </c>
      <c r="Z69" t="s">
        <v>362</v>
      </c>
      <c r="AA69" t="s">
        <v>276</v>
      </c>
      <c r="AB69" t="s">
        <v>10</v>
      </c>
      <c r="AC69" t="s">
        <v>383</v>
      </c>
      <c r="AE69" s="6" t="s">
        <v>275</v>
      </c>
      <c r="AF69" t="s">
        <v>362</v>
      </c>
      <c r="AG69" t="s">
        <v>276</v>
      </c>
      <c r="AH69" t="s">
        <v>10</v>
      </c>
      <c r="AI69" t="s">
        <v>383</v>
      </c>
      <c r="AK69" s="6" t="s">
        <v>275</v>
      </c>
      <c r="AL69" t="s">
        <v>362</v>
      </c>
      <c r="AM69" t="s">
        <v>276</v>
      </c>
      <c r="AN69" t="s">
        <v>10</v>
      </c>
      <c r="AO69" t="s">
        <v>383</v>
      </c>
    </row>
    <row r="70" spans="1:41">
      <c r="A70" s="6" t="s">
        <v>277</v>
      </c>
      <c r="B70" t="s">
        <v>135</v>
      </c>
      <c r="C70" t="s">
        <v>278</v>
      </c>
      <c r="D70" t="s">
        <v>10</v>
      </c>
      <c r="E70" t="s">
        <v>383</v>
      </c>
      <c r="G70" s="6" t="s">
        <v>277</v>
      </c>
      <c r="H70" t="s">
        <v>135</v>
      </c>
      <c r="I70" t="s">
        <v>278</v>
      </c>
      <c r="J70" t="s">
        <v>10</v>
      </c>
      <c r="K70" t="s">
        <v>383</v>
      </c>
      <c r="M70" s="6" t="s">
        <v>277</v>
      </c>
      <c r="N70" t="s">
        <v>135</v>
      </c>
      <c r="O70" t="s">
        <v>278</v>
      </c>
      <c r="P70" t="s">
        <v>10</v>
      </c>
      <c r="Q70" t="s">
        <v>383</v>
      </c>
      <c r="S70" s="6" t="s">
        <v>277</v>
      </c>
      <c r="T70" t="s">
        <v>135</v>
      </c>
      <c r="U70" t="s">
        <v>278</v>
      </c>
      <c r="V70" t="s">
        <v>10</v>
      </c>
      <c r="W70" t="s">
        <v>383</v>
      </c>
      <c r="Y70" s="6" t="s">
        <v>277</v>
      </c>
      <c r="Z70" t="s">
        <v>135</v>
      </c>
      <c r="AA70" t="s">
        <v>278</v>
      </c>
      <c r="AB70" t="s">
        <v>10</v>
      </c>
      <c r="AC70" t="s">
        <v>383</v>
      </c>
      <c r="AE70" s="6" t="s">
        <v>277</v>
      </c>
      <c r="AF70" t="s">
        <v>135</v>
      </c>
      <c r="AG70" t="s">
        <v>278</v>
      </c>
      <c r="AH70" t="s">
        <v>10</v>
      </c>
      <c r="AI70" t="s">
        <v>383</v>
      </c>
      <c r="AK70" s="6" t="s">
        <v>277</v>
      </c>
      <c r="AL70" t="s">
        <v>135</v>
      </c>
      <c r="AM70" t="s">
        <v>278</v>
      </c>
      <c r="AN70" t="s">
        <v>10</v>
      </c>
      <c r="AO70" t="s">
        <v>383</v>
      </c>
    </row>
    <row r="71" spans="1:41">
      <c r="A71" s="6" t="s">
        <v>279</v>
      </c>
      <c r="B71" t="s">
        <v>135</v>
      </c>
      <c r="C71" t="s">
        <v>280</v>
      </c>
      <c r="D71" t="s">
        <v>10</v>
      </c>
      <c r="E71" t="s">
        <v>383</v>
      </c>
      <c r="G71" s="6" t="s">
        <v>279</v>
      </c>
      <c r="H71" t="s">
        <v>135</v>
      </c>
      <c r="I71" t="s">
        <v>280</v>
      </c>
      <c r="J71" t="s">
        <v>10</v>
      </c>
      <c r="K71" t="s">
        <v>383</v>
      </c>
      <c r="M71" s="6" t="s">
        <v>279</v>
      </c>
      <c r="N71" t="s">
        <v>135</v>
      </c>
      <c r="O71" t="s">
        <v>280</v>
      </c>
      <c r="P71" t="s">
        <v>10</v>
      </c>
      <c r="Q71" t="s">
        <v>383</v>
      </c>
      <c r="S71" s="6" t="s">
        <v>279</v>
      </c>
      <c r="T71" t="s">
        <v>135</v>
      </c>
      <c r="U71" t="s">
        <v>280</v>
      </c>
      <c r="V71" t="s">
        <v>10</v>
      </c>
      <c r="W71" t="s">
        <v>383</v>
      </c>
      <c r="Y71" s="6" t="s">
        <v>279</v>
      </c>
      <c r="Z71" t="s">
        <v>135</v>
      </c>
      <c r="AA71" t="s">
        <v>280</v>
      </c>
      <c r="AB71" t="s">
        <v>10</v>
      </c>
      <c r="AC71" t="s">
        <v>383</v>
      </c>
      <c r="AE71" s="6" t="s">
        <v>279</v>
      </c>
      <c r="AF71" t="s">
        <v>135</v>
      </c>
      <c r="AG71" t="s">
        <v>280</v>
      </c>
      <c r="AH71" t="s">
        <v>10</v>
      </c>
      <c r="AI71" t="s">
        <v>383</v>
      </c>
      <c r="AK71" s="6" t="s">
        <v>279</v>
      </c>
      <c r="AL71" t="s">
        <v>135</v>
      </c>
      <c r="AM71" t="s">
        <v>280</v>
      </c>
      <c r="AN71" t="s">
        <v>10</v>
      </c>
      <c r="AO71" t="s">
        <v>383</v>
      </c>
    </row>
    <row r="72" spans="1:41">
      <c r="A72" s="6" t="s">
        <v>281</v>
      </c>
      <c r="B72" t="s">
        <v>135</v>
      </c>
      <c r="C72" t="s">
        <v>282</v>
      </c>
      <c r="D72" t="s">
        <v>10</v>
      </c>
      <c r="E72" t="s">
        <v>383</v>
      </c>
      <c r="G72" s="6" t="s">
        <v>281</v>
      </c>
      <c r="H72" t="s">
        <v>135</v>
      </c>
      <c r="I72" t="s">
        <v>282</v>
      </c>
      <c r="J72">
        <v>0.136656</v>
      </c>
      <c r="K72" t="s">
        <v>414</v>
      </c>
      <c r="M72" s="6" t="s">
        <v>281</v>
      </c>
      <c r="N72" t="s">
        <v>135</v>
      </c>
      <c r="O72" t="s">
        <v>282</v>
      </c>
      <c r="P72">
        <v>0.136656</v>
      </c>
      <c r="Q72" t="s">
        <v>414</v>
      </c>
      <c r="S72" s="6" t="s">
        <v>281</v>
      </c>
      <c r="T72" t="s">
        <v>135</v>
      </c>
      <c r="U72" t="s">
        <v>282</v>
      </c>
      <c r="V72">
        <v>0.136656</v>
      </c>
      <c r="W72" t="s">
        <v>414</v>
      </c>
      <c r="Y72" s="6" t="s">
        <v>281</v>
      </c>
      <c r="Z72" t="s">
        <v>135</v>
      </c>
      <c r="AA72" t="s">
        <v>282</v>
      </c>
      <c r="AB72" t="s">
        <v>10</v>
      </c>
      <c r="AC72" t="s">
        <v>383</v>
      </c>
      <c r="AE72" s="6" t="s">
        <v>281</v>
      </c>
      <c r="AF72" t="s">
        <v>135</v>
      </c>
      <c r="AG72" t="s">
        <v>282</v>
      </c>
      <c r="AH72">
        <v>3.4764999999999991E-4</v>
      </c>
      <c r="AI72" t="s">
        <v>414</v>
      </c>
      <c r="AK72" s="6" t="s">
        <v>281</v>
      </c>
      <c r="AL72" t="s">
        <v>135</v>
      </c>
      <c r="AM72" t="s">
        <v>282</v>
      </c>
      <c r="AN72">
        <v>2.14725E-4</v>
      </c>
      <c r="AO72" t="s">
        <v>414</v>
      </c>
    </row>
    <row r="73" spans="1:41">
      <c r="A73" s="6" t="s">
        <v>283</v>
      </c>
      <c r="B73" t="s">
        <v>135</v>
      </c>
      <c r="C73" t="s">
        <v>284</v>
      </c>
      <c r="D73" t="s">
        <v>10</v>
      </c>
      <c r="E73" t="s">
        <v>383</v>
      </c>
      <c r="G73" s="6" t="s">
        <v>283</v>
      </c>
      <c r="H73" t="s">
        <v>135</v>
      </c>
      <c r="I73" t="s">
        <v>284</v>
      </c>
      <c r="J73" t="s">
        <v>10</v>
      </c>
      <c r="K73" t="s">
        <v>383</v>
      </c>
      <c r="M73" s="6" t="s">
        <v>283</v>
      </c>
      <c r="N73" t="s">
        <v>135</v>
      </c>
      <c r="O73" t="s">
        <v>284</v>
      </c>
      <c r="P73" t="s">
        <v>10</v>
      </c>
      <c r="Q73" t="s">
        <v>383</v>
      </c>
      <c r="S73" s="6" t="s">
        <v>283</v>
      </c>
      <c r="T73" t="s">
        <v>135</v>
      </c>
      <c r="U73" t="s">
        <v>284</v>
      </c>
      <c r="V73" t="s">
        <v>10</v>
      </c>
      <c r="W73" t="s">
        <v>383</v>
      </c>
      <c r="Y73" s="6" t="s">
        <v>283</v>
      </c>
      <c r="Z73" t="s">
        <v>135</v>
      </c>
      <c r="AA73" t="s">
        <v>284</v>
      </c>
      <c r="AB73" t="s">
        <v>10</v>
      </c>
      <c r="AC73" t="s">
        <v>383</v>
      </c>
      <c r="AE73" s="6" t="s">
        <v>283</v>
      </c>
      <c r="AF73" t="s">
        <v>135</v>
      </c>
      <c r="AG73" t="s">
        <v>284</v>
      </c>
      <c r="AH73" t="s">
        <v>10</v>
      </c>
      <c r="AI73" t="s">
        <v>383</v>
      </c>
      <c r="AK73" s="6" t="s">
        <v>283</v>
      </c>
      <c r="AL73" t="s">
        <v>135</v>
      </c>
      <c r="AM73" t="s">
        <v>284</v>
      </c>
      <c r="AN73" t="s">
        <v>10</v>
      </c>
      <c r="AO73" t="s">
        <v>383</v>
      </c>
    </row>
    <row r="74" spans="1:41">
      <c r="A74" s="6" t="s">
        <v>285</v>
      </c>
      <c r="B74" t="s">
        <v>135</v>
      </c>
      <c r="C74" t="s">
        <v>286</v>
      </c>
      <c r="D74" t="s">
        <v>10</v>
      </c>
      <c r="E74" t="s">
        <v>383</v>
      </c>
      <c r="G74" s="6" t="s">
        <v>285</v>
      </c>
      <c r="H74" t="s">
        <v>135</v>
      </c>
      <c r="I74" t="s">
        <v>286</v>
      </c>
      <c r="J74">
        <v>6.7276800000000012E-2</v>
      </c>
      <c r="K74" t="s">
        <v>414</v>
      </c>
      <c r="M74" s="6" t="s">
        <v>285</v>
      </c>
      <c r="N74" t="s">
        <v>135</v>
      </c>
      <c r="O74" t="s">
        <v>286</v>
      </c>
      <c r="P74">
        <v>6.7276800000000012E-2</v>
      </c>
      <c r="Q74" t="s">
        <v>414</v>
      </c>
      <c r="S74" s="6" t="s">
        <v>285</v>
      </c>
      <c r="T74" t="s">
        <v>135</v>
      </c>
      <c r="U74" t="s">
        <v>286</v>
      </c>
      <c r="V74">
        <v>6.7276800000000012E-2</v>
      </c>
      <c r="W74" t="s">
        <v>414</v>
      </c>
      <c r="Y74" s="6" t="s">
        <v>285</v>
      </c>
      <c r="Z74" t="s">
        <v>135</v>
      </c>
      <c r="AA74" t="s">
        <v>286</v>
      </c>
      <c r="AB74" t="s">
        <v>10</v>
      </c>
      <c r="AC74" t="s">
        <v>383</v>
      </c>
      <c r="AE74" s="6" t="s">
        <v>285</v>
      </c>
      <c r="AF74" t="s">
        <v>135</v>
      </c>
      <c r="AG74" t="s">
        <v>286</v>
      </c>
      <c r="AH74">
        <v>2.4224999999999993E-4</v>
      </c>
      <c r="AI74" t="s">
        <v>414</v>
      </c>
      <c r="AK74" s="6" t="s">
        <v>285</v>
      </c>
      <c r="AL74" t="s">
        <v>135</v>
      </c>
      <c r="AM74" t="s">
        <v>286</v>
      </c>
      <c r="AN74">
        <v>1.4962499999999999E-4</v>
      </c>
      <c r="AO74" t="s">
        <v>414</v>
      </c>
    </row>
    <row r="75" spans="1:41">
      <c r="A75" s="6"/>
      <c r="G75" s="6"/>
      <c r="M75" s="6"/>
      <c r="S75" s="6"/>
      <c r="Y75" s="6"/>
      <c r="AE75" s="6"/>
      <c r="AK75" s="6"/>
    </row>
    <row r="76" spans="1:41">
      <c r="A76" s="6" t="s">
        <v>424</v>
      </c>
      <c r="G76" s="6" t="s">
        <v>424</v>
      </c>
      <c r="M76" s="6" t="s">
        <v>424</v>
      </c>
      <c r="S76" s="6" t="s">
        <v>424</v>
      </c>
      <c r="Y76" s="6" t="s">
        <v>424</v>
      </c>
      <c r="AE76" s="6" t="s">
        <v>424</v>
      </c>
      <c r="AK76" s="6" t="s">
        <v>424</v>
      </c>
    </row>
    <row r="77" spans="1:41">
      <c r="A77" s="6" t="s">
        <v>425</v>
      </c>
      <c r="G77" s="6" t="s">
        <v>425</v>
      </c>
      <c r="M77" s="6" t="s">
        <v>425</v>
      </c>
      <c r="S77" s="6" t="s">
        <v>425</v>
      </c>
      <c r="Y77" s="6" t="s">
        <v>425</v>
      </c>
      <c r="AE77" s="6" t="s">
        <v>425</v>
      </c>
      <c r="AK77" s="6" t="s">
        <v>425</v>
      </c>
    </row>
    <row r="78" spans="1:41">
      <c r="A78" s="6"/>
      <c r="C78" t="s">
        <v>426</v>
      </c>
      <c r="D78">
        <f>SUM(D70:D74,D67:D68,D65:D66,D57:D63,D54,D44:D51,D41:D43,D39,D34:D36,D30:D32,D27:D28,D16:D24)</f>
        <v>2.5688699999999991E-2</v>
      </c>
      <c r="G78" s="6"/>
      <c r="I78" t="s">
        <v>426</v>
      </c>
      <c r="J78">
        <f>SUM(J70:J74,J67,J65:J66,J57:J63,J54,J44:J47,J49:J51,J41:J43,J39,J34:J36,J30:J32,J27:J28,J16:J24)</f>
        <v>3.1049259360000003</v>
      </c>
      <c r="M78" s="6"/>
      <c r="O78" t="s">
        <v>426</v>
      </c>
      <c r="P78">
        <f>SUM(P70:P74,P67,P65:P66,P57:P63,P54,P44:P47,P49:P51,P41:P43,P39,P34:P36,P30:P32,P27:P28,P16:P24)</f>
        <v>3.1049259360000003</v>
      </c>
      <c r="S78" s="6"/>
      <c r="U78" t="s">
        <v>426</v>
      </c>
      <c r="V78">
        <f>SUM(V70:V74,V67,V65:V66,V57:V63,V54,V44:V47,V49:V51,V41:V43,V39,V34:V36,V30:V32,V27:V28,V16:V24)</f>
        <v>3.1049259360000003</v>
      </c>
      <c r="Y78" s="6"/>
      <c r="AA78" t="s">
        <v>426</v>
      </c>
      <c r="AB78" s="82">
        <f>SUM(AB70:AB74,AB67:AB68,AB65:AB66,AB57:AB63,AB54,AB44:AB51,AB41:AB43,AB39,AB34:AB36,AB30:AB32,AB27:AB28,AB16:AB24)</f>
        <v>0</v>
      </c>
      <c r="AE78" s="6"/>
      <c r="AG78" t="s">
        <v>426</v>
      </c>
      <c r="AH78">
        <f>SUM(AH70:AH74,AH67:AH68,AH65:AH66,AH57:AH63,AH54,AH44:AH51,AH41:AH43,AH39,AH34:AH36,AH30:AH32,AH27:AH28,AH16:AH24)</f>
        <v>3.2925599999999995E-3</v>
      </c>
      <c r="AK78" s="6"/>
      <c r="AM78" t="s">
        <v>426</v>
      </c>
      <c r="AN78">
        <f>SUM(AN70:AN74,AN67:AN68,AN65:AN66,AN57:AN63,AN54,AN44:AN51,AN41:AN43,AN39,AN34:AN36,AN30:AN32,AN27:AN28,AN16:AN24)</f>
        <v>2.0336399999999998E-3</v>
      </c>
    </row>
    <row r="79" spans="1:41">
      <c r="A79" s="6"/>
      <c r="C79" t="s">
        <v>427</v>
      </c>
      <c r="D79" t="s">
        <v>428</v>
      </c>
      <c r="G79" s="6"/>
      <c r="I79" t="s">
        <v>427</v>
      </c>
      <c r="J79" t="s">
        <v>428</v>
      </c>
      <c r="M79" s="6"/>
      <c r="O79" t="s">
        <v>427</v>
      </c>
      <c r="P79" t="s">
        <v>428</v>
      </c>
      <c r="S79" s="6"/>
      <c r="U79" t="s">
        <v>427</v>
      </c>
      <c r="V79" t="s">
        <v>428</v>
      </c>
      <c r="Y79" s="6"/>
      <c r="AE79" s="6"/>
      <c r="AK79" s="6"/>
    </row>
    <row r="80" spans="1:41">
      <c r="A80" s="6"/>
      <c r="G80" s="6"/>
      <c r="M80" s="6"/>
      <c r="S80" s="6"/>
      <c r="Y80" s="6"/>
      <c r="AE80" s="6"/>
      <c r="AK80" s="6"/>
    </row>
    <row r="81" spans="1:40">
      <c r="A81" s="6"/>
      <c r="C81" t="s">
        <v>395</v>
      </c>
      <c r="D81">
        <f>SUM(D16:D74)</f>
        <v>0.10326295333697752</v>
      </c>
      <c r="G81" s="6"/>
      <c r="I81" t="s">
        <v>395</v>
      </c>
      <c r="J81">
        <f>SUM(J16:J74)</f>
        <v>3.1354107360000003</v>
      </c>
      <c r="M81" s="6"/>
      <c r="O81" t="s">
        <v>395</v>
      </c>
      <c r="P81">
        <f>SUM(P16:P74)</f>
        <v>3.1354107360000003</v>
      </c>
      <c r="S81" s="6"/>
      <c r="U81" t="s">
        <v>395</v>
      </c>
      <c r="V81">
        <f>SUM(V16:V74)</f>
        <v>3.1354107360000003</v>
      </c>
      <c r="Y81" s="6"/>
      <c r="AA81" t="s">
        <v>395</v>
      </c>
      <c r="AB81">
        <v>0</v>
      </c>
      <c r="AE81" s="6"/>
      <c r="AG81" t="s">
        <v>395</v>
      </c>
      <c r="AH81">
        <f>SUM(AH16:AH74)</f>
        <v>3.3162350483558986E-3</v>
      </c>
      <c r="AK81" s="6"/>
      <c r="AM81" t="s">
        <v>395</v>
      </c>
      <c r="AN81">
        <f>SUM(AN16:AN74)</f>
        <v>2.0482628239845259E-3</v>
      </c>
    </row>
    <row r="82" spans="1:40">
      <c r="A82" s="6"/>
      <c r="G82" s="6"/>
      <c r="M82" s="6"/>
      <c r="S82" s="6"/>
      <c r="Y82" s="6"/>
      <c r="AE82" s="6"/>
      <c r="AK82" s="6"/>
    </row>
    <row r="83" spans="1:40">
      <c r="A83" s="6"/>
      <c r="C83" t="s">
        <v>396</v>
      </c>
      <c r="D83">
        <f>D81-D78</f>
        <v>7.7574253336977525E-2</v>
      </c>
      <c r="G83" s="6"/>
      <c r="I83" t="s">
        <v>396</v>
      </c>
      <c r="J83">
        <f>J81-J78</f>
        <v>3.0484799999999979E-2</v>
      </c>
      <c r="M83" s="6"/>
      <c r="O83" t="s">
        <v>396</v>
      </c>
      <c r="P83">
        <f>P81-P78</f>
        <v>3.0484799999999979E-2</v>
      </c>
      <c r="S83" s="6"/>
      <c r="U83" t="s">
        <v>396</v>
      </c>
      <c r="V83">
        <f>V81-V78</f>
        <v>3.0484799999999979E-2</v>
      </c>
      <c r="Y83" s="6"/>
      <c r="AA83" t="s">
        <v>396</v>
      </c>
      <c r="AB83">
        <v>0</v>
      </c>
      <c r="AE83" s="6"/>
      <c r="AG83" t="s">
        <v>396</v>
      </c>
      <c r="AH83">
        <f>AH81-AH78</f>
        <v>2.3675048355899057E-5</v>
      </c>
      <c r="AK83" s="6"/>
      <c r="AM83" t="s">
        <v>396</v>
      </c>
      <c r="AN83">
        <f>AN81-AN78</f>
        <v>1.4622823984526169E-5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5383296ED4D4DB0AD800770D06660" ma:contentTypeVersion="13" ma:contentTypeDescription="Create a new document." ma:contentTypeScope="" ma:versionID="e59ff5a109c9c6a09b7857017b8659cb">
  <xsd:schema xmlns:xsd="http://www.w3.org/2001/XMLSchema" xmlns:xs="http://www.w3.org/2001/XMLSchema" xmlns:p="http://schemas.microsoft.com/office/2006/metadata/properties" xmlns:ns2="688d689e-5026-4cd3-ab19-d86d5abe8b8f" xmlns:ns3="feaad656-1b10-457c-90e9-91a22fe1f7eb" targetNamespace="http://schemas.microsoft.com/office/2006/metadata/properties" ma:root="true" ma:fieldsID="5eb70b0a4014b728c5d6fafb361978f7" ns2:_="" ns3:_="">
    <xsd:import namespace="688d689e-5026-4cd3-ab19-d86d5abe8b8f"/>
    <xsd:import namespace="feaad656-1b10-457c-90e9-91a22fe1f7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d689e-5026-4cd3-ab19-d86d5abe8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f121c4d-7a7c-4cad-b202-e2ff2641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d656-1b10-457c-90e9-91a22fe1f7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bda6103-8379-4351-840b-17cc1c57b5f5}" ma:internalName="TaxCatchAll" ma:showField="CatchAllData" ma:web="feaad656-1b10-457c-90e9-91a22fe1f7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aad656-1b10-457c-90e9-91a22fe1f7eb" xsi:nil="true"/>
    <lcf76f155ced4ddcb4097134ff3c332f xmlns="688d689e-5026-4cd3-ab19-d86d5abe8b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234343-9AA4-4DB9-81BF-C0E09054A213}"/>
</file>

<file path=customXml/itemProps2.xml><?xml version="1.0" encoding="utf-8"?>
<ds:datastoreItem xmlns:ds="http://schemas.openxmlformats.org/officeDocument/2006/customXml" ds:itemID="{E40506C7-C6B2-40A5-8111-BE91009E52D8}"/>
</file>

<file path=customXml/itemProps3.xml><?xml version="1.0" encoding="utf-8"?>
<ds:datastoreItem xmlns:ds="http://schemas.openxmlformats.org/officeDocument/2006/customXml" ds:itemID="{A34E9C98-A112-4A5B-AC91-F0F4BCBC1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PTE Summary</vt:lpstr>
      <vt:lpstr>Brunot Island CT PTE</vt:lpstr>
      <vt:lpstr>Cooling Tower</vt:lpstr>
      <vt:lpstr>Generator</vt:lpstr>
      <vt:lpstr>Fire Pump</vt:lpstr>
      <vt:lpstr>Input Data</vt:lpstr>
      <vt:lpstr>Emission Factors</vt:lpstr>
      <vt:lpstr>REF 1</vt:lpstr>
      <vt:lpstr>REF 2</vt:lpstr>
      <vt:lpstr>1A PPM RACT Calcs</vt:lpstr>
      <vt:lpstr>2A, 2B, 3 PPM RACT Calcs</vt:lpstr>
    </vt:vector>
  </TitlesOfParts>
  <Company>Allegheny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Lipari, Bernadette</dc:creator>
  <cp:lastModifiedBy>Lipari, Bernadette</cp:lastModifiedBy>
  <dcterms:created xsi:type="dcterms:W3CDTF">2024-08-09T18:44:02Z</dcterms:created>
  <dcterms:modified xsi:type="dcterms:W3CDTF">2025-11-10T20:30:09Z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0x0101008C65383296ED4D4DB0AD800770D06660</vt:lpwstr>
  </property>
</Properties>
</file>