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leghenycounty-my.sharepoint.com/personal/hafeez_ajenifuja_alleghenycounty_us/Documents/ACHD/MAJOR SOURCE/US STEEL - IRVIN/IPs/IP10/"/>
    </mc:Choice>
  </mc:AlternateContent>
  <xr:revisionPtr revIDLastSave="46" documentId="8_{6260D399-22BD-4B07-96D3-89415F9847FA}" xr6:coauthVersionLast="47" xr6:coauthVersionMax="47" xr10:uidLastSave="{A6002F35-DE7B-4465-904E-EDEBD35A0591}"/>
  <bookViews>
    <workbookView xWindow="-120" yWindow="-120" windowWidth="29040" windowHeight="15720" tabRatio="937" activeTab="1" xr2:uid="{9F5EF64C-B0F0-44B2-B6C8-DC5A065889AF}"/>
  </bookViews>
  <sheets>
    <sheet name="Summary --&gt;" sheetId="137" r:id="rId1"/>
    <sheet name="Key Inputs" sheetId="87" r:id="rId2"/>
    <sheet name="NSR Summary" sheetId="122" r:id="rId3"/>
    <sheet name="Summary_Individual" sheetId="113" r:id="rId4"/>
    <sheet name="PAE--&gt;" sheetId="86" r:id="rId5"/>
    <sheet name="NEW Boiler 5 PTE (B005)" sheetId="92" r:id="rId6"/>
    <sheet name="Air Toxics --&gt;" sheetId="132" r:id="rId7"/>
    <sheet name="Toxics Summary" sheetId="128" r:id="rId8"/>
    <sheet name="Baseline--&gt;" sheetId="54" r:id="rId9"/>
    <sheet name="PM Simple" sheetId="115" r:id="rId10"/>
    <sheet name="PM10 Simple" sheetId="99" r:id="rId11"/>
    <sheet name="PM2.5 Simple" sheetId="61" r:id="rId12"/>
    <sheet name="PMCOND Simple" sheetId="98" r:id="rId13"/>
    <sheet name="NOx Simple" sheetId="104" r:id="rId14"/>
    <sheet name="VOC Simple" sheetId="103" r:id="rId15"/>
    <sheet name="Ammonia Simple" sheetId="102" r:id="rId16"/>
    <sheet name="SOx Simple" sheetId="101" r:id="rId17"/>
    <sheet name="CO Simple" sheetId="100" r:id="rId18"/>
    <sheet name="Lead Simple" sheetId="97" r:id="rId19"/>
    <sheet name="CO2 Simple" sheetId="96" r:id="rId20"/>
    <sheet name="Methane Simple" sheetId="95" r:id="rId21"/>
    <sheet name="N2O Simple" sheetId="94" r:id="rId22"/>
    <sheet name="Reference--&gt;" sheetId="69" r:id="rId23"/>
    <sheet name="Gas Useage" sheetId="93" r:id="rId24"/>
    <sheet name="2020 EI" sheetId="48" r:id="rId25"/>
    <sheet name="2021 EI" sheetId="49" r:id="rId26"/>
    <sheet name="2022 EI" sheetId="50" r:id="rId27"/>
    <sheet name="12c. Boiler 3 (B003)" sheetId="135" r:id="rId28"/>
    <sheet name="12d. Boiler 4 (B004)" sheetId="136" r:id="rId29"/>
  </sheets>
  <definedNames>
    <definedName name="____kb1" localSheetId="8" hidden="1">{#N/A,#N/A,FALSE,"F1-Currrent";#N/A,#N/A,FALSE,"F2-Current";#N/A,#N/A,FALSE,"F2-Proposed";#N/A,#N/A,FALSE,"F3-Current";#N/A,#N/A,FALSE,"F4-Current";#N/A,#N/A,FALSE,"F4-Proposed";#N/A,#N/A,FALSE,"Controls"}</definedName>
    <definedName name="____kb1" hidden="1">{#N/A,#N/A,FALSE,"F1-Currrent";#N/A,#N/A,FALSE,"F2-Current";#N/A,#N/A,FALSE,"F2-Proposed";#N/A,#N/A,FALSE,"F3-Current";#N/A,#N/A,FALSE,"F4-Current";#N/A,#N/A,FALSE,"F4-Proposed";#N/A,#N/A,FALSE,"Controls"}</definedName>
    <definedName name="___kb1" localSheetId="8" hidden="1">{#N/A,#N/A,FALSE,"F1-Currrent";#N/A,#N/A,FALSE,"F2-Current";#N/A,#N/A,FALSE,"F2-Proposed";#N/A,#N/A,FALSE,"F3-Current";#N/A,#N/A,FALSE,"F4-Current";#N/A,#N/A,FALSE,"F4-Proposed";#N/A,#N/A,FALSE,"Controls"}</definedName>
    <definedName name="___kb1" hidden="1">{#N/A,#N/A,FALSE,"F1-Currrent";#N/A,#N/A,FALSE,"F2-Current";#N/A,#N/A,FALSE,"F2-Proposed";#N/A,#N/A,FALSE,"F3-Current";#N/A,#N/A,FALSE,"F4-Current";#N/A,#N/A,FALSE,"F4-Proposed";#N/A,#N/A,FALSE,"Controls"}</definedName>
    <definedName name="__123Graph_B" localSheetId="27" hidden="1">#REF!</definedName>
    <definedName name="__123Graph_B" localSheetId="28" hidden="1">#REF!</definedName>
    <definedName name="__123Graph_B" localSheetId="5" hidden="1">#REF!</definedName>
    <definedName name="__123Graph_B" localSheetId="7" hidden="1">#REF!</definedName>
    <definedName name="__123Graph_B" hidden="1">#REF!</definedName>
    <definedName name="__IntlFixup" hidden="1">TRUE</definedName>
    <definedName name="__IntlFixupTable" hidden="1">#REF!</definedName>
    <definedName name="__kb1" localSheetId="8" hidden="1">{#N/A,#N/A,FALSE,"F1-Currrent";#N/A,#N/A,FALSE,"F2-Current";#N/A,#N/A,FALSE,"F2-Proposed";#N/A,#N/A,FALSE,"F3-Current";#N/A,#N/A,FALSE,"F4-Current";#N/A,#N/A,FALSE,"F4-Proposed";#N/A,#N/A,FALSE,"Controls"}</definedName>
    <definedName name="__kb1" hidden="1">{#N/A,#N/A,FALSE,"F1-Currrent";#N/A,#N/A,FALSE,"F2-Current";#N/A,#N/A,FALSE,"F2-Proposed";#N/A,#N/A,FALSE,"F3-Current";#N/A,#N/A,FALSE,"F4-Current";#N/A,#N/A,FALSE,"F4-Proposed";#N/A,#N/A,FALSE,"Controls"}</definedName>
    <definedName name="_1_0_S" hidden="1">#REF!</definedName>
    <definedName name="_Fill" localSheetId="7" hidden="1">#REF!</definedName>
    <definedName name="_Fill" hidden="1">#REF!</definedName>
    <definedName name="_Fill2" hidden="1">#REF!</definedName>
    <definedName name="_xlnm._FilterDatabase" localSheetId="18" hidden="1">'Lead Simple'!#REF!</definedName>
    <definedName name="_xlnm._FilterDatabase" localSheetId="13" hidden="1">'NOx Simple'!#REF!</definedName>
    <definedName name="_xlnm._FilterDatabase" localSheetId="9" hidden="1">'PM Simple'!#REF!</definedName>
    <definedName name="_xlnm._FilterDatabase" localSheetId="10" hidden="1">'PM10 Simple'!#REF!</definedName>
    <definedName name="_xlnm._FilterDatabase" localSheetId="11" hidden="1">'PM2.5 Simple'!#REF!</definedName>
    <definedName name="_xlnm._FilterDatabase" localSheetId="12" hidden="1">'PMCOND Simple'!#REF!</definedName>
    <definedName name="_xlnm._FilterDatabase" localSheetId="16" hidden="1">'SOx Simple'!#REF!</definedName>
    <definedName name="_kb1" localSheetId="8" hidden="1">{#N/A,#N/A,FALSE,"F1-Currrent";#N/A,#N/A,FALSE,"F2-Current";#N/A,#N/A,FALSE,"F2-Proposed";#N/A,#N/A,FALSE,"F3-Current";#N/A,#N/A,FALSE,"F4-Current";#N/A,#N/A,FALSE,"F4-Proposed";#N/A,#N/A,FALSE,"Controls"}</definedName>
    <definedName name="_kb1" hidden="1">{#N/A,#N/A,FALSE,"F1-Currrent";#N/A,#N/A,FALSE,"F2-Current";#N/A,#N/A,FALSE,"F2-Proposed";#N/A,#N/A,FALSE,"F3-Current";#N/A,#N/A,FALSE,"F4-Current";#N/A,#N/A,FALSE,"F4-Proposed";#N/A,#N/A,FALSE,"Controls"}</definedName>
    <definedName name="_Key1" localSheetId="7" hidden="1">#REF!</definedName>
    <definedName name="_Key1" hidden="1">#REF!</definedName>
    <definedName name="_Key2" localSheetId="7" hidden="1">#REF!</definedName>
    <definedName name="_Key2" hidden="1">#REF!</definedName>
    <definedName name="_Order1" hidden="1">255</definedName>
    <definedName name="_Order2" hidden="1">255</definedName>
    <definedName name="_Sort" localSheetId="7" hidden="1">#REF!</definedName>
    <definedName name="_Sort" hidden="1">#REF!</definedName>
    <definedName name="a" localSheetId="8" hidden="1">{#N/A,#N/A,FALSE,"Annual Summary";#N/A,#N/A,FALSE,"Hourly Summary";#N/A,#N/A,FALSE,"Flare Combustion";#N/A,#N/A,FALSE,"Shipping";#N/A,#N/A,FALSE,"Process Turnaround";#N/A,#N/A,FALSE,"Lab Samples";#N/A,#N/A,FALSE,"Product Cycles 5-4";#N/A,#N/A,FALSE,"5-4.1";#N/A,#N/A,FALSE,"5-4.2";#N/A,#N/A,FALSE,"Physical Prop Data"}</definedName>
    <definedName name="a" localSheetId="7" hidden="1">{#N/A,#N/A,FALSE,"Annual Summary";#N/A,#N/A,FALSE,"Hourly Summary";#N/A,#N/A,FALSE,"Flare Combustion";#N/A,#N/A,FALSE,"Shipping";#N/A,#N/A,FALSE,"Process Turnaround";#N/A,#N/A,FALSE,"Lab Samples";#N/A,#N/A,FALSE,"Product Cycles 5-4";#N/A,#N/A,FALSE,"5-4.1";#N/A,#N/A,FALSE,"5-4.2";#N/A,#N/A,FALSE,"Physical Prop Data"}</definedName>
    <definedName name="a" hidden="1">{#N/A,#N/A,FALSE,"Annual Summary";#N/A,#N/A,FALSE,"Hourly Summary";#N/A,#N/A,FALSE,"Flare Combustion";#N/A,#N/A,FALSE,"Shipping";#N/A,#N/A,FALSE,"Process Turnaround";#N/A,#N/A,FALSE,"Lab Samples";#N/A,#N/A,FALSE,"Product Cycles 5-4";#N/A,#N/A,FALSE,"5-4.1";#N/A,#N/A,FALSE,"5-4.2";#N/A,#N/A,FALSE,"Physical Prop Data"}</definedName>
    <definedName name="A16BLA3Ar" localSheetId="8" hidden="1">{#N/A,#N/A,FALSE,"Summary";#N/A,#N/A,FALSE,"Production";#N/A,#N/A,FALSE,"Boiler";#N/A,#N/A,FALSE,"RTO";#N/A,#N/A,FALSE,"Dryers";#N/A,#N/A,FALSE,"Presses";#N/A,#N/A,FALSE,"Kilns";#N/A,#N/A,FALSE,"Cyclones";#N/A,#N/A,FALSE,"Storage Area Fu";#N/A,#N/A,FALSE,"Proc TSP Fug";#N/A,#N/A,FALSE,"Load Fug";#N/A,#N/A,FALSE,"VOC Fug";#N/A,#N/A,FALSE,"Storage Tanks";#N/A,#N/A,FALSE,"Road Fugitives"}</definedName>
    <definedName name="A16BLA3Ar" hidden="1">{#N/A,#N/A,FALSE,"Summary";#N/A,#N/A,FALSE,"Production";#N/A,#N/A,FALSE,"Boiler";#N/A,#N/A,FALSE,"RTO";#N/A,#N/A,FALSE,"Dryers";#N/A,#N/A,FALSE,"Presses";#N/A,#N/A,FALSE,"Kilns";#N/A,#N/A,FALSE,"Cyclones";#N/A,#N/A,FALSE,"Storage Area Fu";#N/A,#N/A,FALSE,"Proc TSP Fug";#N/A,#N/A,FALSE,"Load Fug";#N/A,#N/A,FALSE,"VOC Fug";#N/A,#N/A,FALSE,"Storage Tanks";#N/A,#N/A,FALSE,"Road Fugitives"}</definedName>
    <definedName name="aa" localSheetId="8" hidden="1">{#N/A,#N/A,FALSE,"Annual Summary";#N/A,#N/A,FALSE,"Hourly Summary";#N/A,#N/A,FALSE,"Flare Combustion";#N/A,#N/A,FALSE,"Shipping";#N/A,#N/A,FALSE,"Process Turnaround";#N/A,#N/A,FALSE,"Lab Samples";#N/A,#N/A,FALSE,"Product Cycles 5-4";#N/A,#N/A,FALSE,"5-4.1";#N/A,#N/A,FALSE,"5-4.2";#N/A,#N/A,FALSE,"Physical Prop Data"}</definedName>
    <definedName name="aa" localSheetId="7" hidden="1">{#N/A,#N/A,FALSE,"Annual Summary";#N/A,#N/A,FALSE,"Hourly Summary";#N/A,#N/A,FALSE,"Flare Combustion";#N/A,#N/A,FALSE,"Shipping";#N/A,#N/A,FALSE,"Process Turnaround";#N/A,#N/A,FALSE,"Lab Samples";#N/A,#N/A,FALSE,"Product Cycles 5-4";#N/A,#N/A,FALSE,"5-4.1";#N/A,#N/A,FALSE,"5-4.2";#N/A,#N/A,FALSE,"Physical Prop Data"}</definedName>
    <definedName name="aa" hidden="1">{#N/A,#N/A,FALSE,"Annual Summary";#N/A,#N/A,FALSE,"Hourly Summary";#N/A,#N/A,FALSE,"Flare Combustion";#N/A,#N/A,FALSE,"Shipping";#N/A,#N/A,FALSE,"Process Turnaround";#N/A,#N/A,FALSE,"Lab Samples";#N/A,#N/A,FALSE,"Product Cycles 5-4";#N/A,#N/A,FALSE,"5-4.1";#N/A,#N/A,FALSE,"5-4.2";#N/A,#N/A,FALSE,"Physical Prop Data"}</definedName>
    <definedName name="aabbcc" localSheetId="8" hidden="1">{#N/A,#N/A,FALSE,"Annual Summary";#N/A,#N/A,FALSE,"Hourly Summary";#N/A,#N/A,FALSE,"Flare Combustion";#N/A,#N/A,FALSE,"Shipping";#N/A,#N/A,FALSE,"Process Turnaround";#N/A,#N/A,FALSE,"Lab Samples";#N/A,#N/A,FALSE,"Product Cycles 5-4";#N/A,#N/A,FALSE,"5-4.1";#N/A,#N/A,FALSE,"5-4.2";#N/A,#N/A,FALSE,"Physical Prop Data"}</definedName>
    <definedName name="aabbcc" localSheetId="7" hidden="1">{#N/A,#N/A,FALSE,"Annual Summary";#N/A,#N/A,FALSE,"Hourly Summary";#N/A,#N/A,FALSE,"Flare Combustion";#N/A,#N/A,FALSE,"Shipping";#N/A,#N/A,FALSE,"Process Turnaround";#N/A,#N/A,FALSE,"Lab Samples";#N/A,#N/A,FALSE,"Product Cycles 5-4";#N/A,#N/A,FALSE,"5-4.1";#N/A,#N/A,FALSE,"5-4.2";#N/A,#N/A,FALSE,"Physical Prop Data"}</definedName>
    <definedName name="aabbcc" hidden="1">{#N/A,#N/A,FALSE,"Annual Summary";#N/A,#N/A,FALSE,"Hourly Summary";#N/A,#N/A,FALSE,"Flare Combustion";#N/A,#N/A,FALSE,"Shipping";#N/A,#N/A,FALSE,"Process Turnaround";#N/A,#N/A,FALSE,"Lab Samples";#N/A,#N/A,FALSE,"Product Cycles 5-4";#N/A,#N/A,FALSE,"5-4.1";#N/A,#N/A,FALSE,"5-4.2";#N/A,#N/A,FALSE,"Physical Prop Data"}</definedName>
    <definedName name="aappii" localSheetId="8" hidden="1">{#N/A,#N/A,FALSE,"Annual Summary";#N/A,#N/A,FALSE,"Hourly Summary";#N/A,#N/A,FALSE,"Flare Combustion";#N/A,#N/A,FALSE,"Shipping";#N/A,#N/A,FALSE,"Process Turnaround";#N/A,#N/A,FALSE,"Lab Samples";#N/A,#N/A,FALSE,"Product Cycles 5-4";#N/A,#N/A,FALSE,"5-4.1";#N/A,#N/A,FALSE,"5-4.2";#N/A,#N/A,FALSE,"Physical Prop Data"}</definedName>
    <definedName name="aappii" localSheetId="7" hidden="1">{#N/A,#N/A,FALSE,"Annual Summary";#N/A,#N/A,FALSE,"Hourly Summary";#N/A,#N/A,FALSE,"Flare Combustion";#N/A,#N/A,FALSE,"Shipping";#N/A,#N/A,FALSE,"Process Turnaround";#N/A,#N/A,FALSE,"Lab Samples";#N/A,#N/A,FALSE,"Product Cycles 5-4";#N/A,#N/A,FALSE,"5-4.1";#N/A,#N/A,FALSE,"5-4.2";#N/A,#N/A,FALSE,"Physical Prop Data"}</definedName>
    <definedName name="aappii" hidden="1">{#N/A,#N/A,FALSE,"Annual Summary";#N/A,#N/A,FALSE,"Hourly Summary";#N/A,#N/A,FALSE,"Flare Combustion";#N/A,#N/A,FALSE,"Shipping";#N/A,#N/A,FALSE,"Process Turnaround";#N/A,#N/A,FALSE,"Lab Samples";#N/A,#N/A,FALSE,"Product Cycles 5-4";#N/A,#N/A,FALSE,"5-4.1";#N/A,#N/A,FALSE,"5-4.2";#N/A,#N/A,FALSE,"Physical Prop Data"}</definedName>
    <definedName name="abc" localSheetId="8" hidden="1">{#N/A,#N/A,FALSE,"Annual Summary";#N/A,#N/A,FALSE,"Hourly Summary";#N/A,#N/A,FALSE,"Flare Combustion";#N/A,#N/A,FALSE,"Shipping";#N/A,#N/A,FALSE,"Process Turnaround";#N/A,#N/A,FALSE,"Lab Samples";#N/A,#N/A,FALSE,"Product Cycles 5-4";#N/A,#N/A,FALSE,"5-4.1";#N/A,#N/A,FALSE,"5-4.2";#N/A,#N/A,FALSE,"Physical Prop Data"}</definedName>
    <definedName name="abc" localSheetId="7" hidden="1">{#N/A,#N/A,FALSE,"Annual Summary";#N/A,#N/A,FALSE,"Hourly Summary";#N/A,#N/A,FALSE,"Flare Combustion";#N/A,#N/A,FALSE,"Shipping";#N/A,#N/A,FALSE,"Process Turnaround";#N/A,#N/A,FALSE,"Lab Samples";#N/A,#N/A,FALSE,"Product Cycles 5-4";#N/A,#N/A,FALSE,"5-4.1";#N/A,#N/A,FALSE,"5-4.2";#N/A,#N/A,FALSE,"Physical Prop Data"}</definedName>
    <definedName name="abc" hidden="1">{#N/A,#N/A,FALSE,"Annual Summary";#N/A,#N/A,FALSE,"Hourly Summary";#N/A,#N/A,FALSE,"Flare Combustion";#N/A,#N/A,FALSE,"Shipping";#N/A,#N/A,FALSE,"Process Turnaround";#N/A,#N/A,FALSE,"Lab Samples";#N/A,#N/A,FALSE,"Product Cycles 5-4";#N/A,#N/A,FALSE,"5-4.1";#N/A,#N/A,FALSE,"5-4.2";#N/A,#N/A,FALSE,"Physical Prop Data"}</definedName>
    <definedName name="anscount" hidden="1">2</definedName>
    <definedName name="asdf" localSheetId="8" hidden="1">{#N/A,#N/A,FALSE,"Annual Summary";#N/A,#N/A,FALSE,"Hourly Summary";#N/A,#N/A,FALSE,"Flare Combustion";#N/A,#N/A,FALSE,"Shipping";#N/A,#N/A,FALSE,"Process Turnaround";#N/A,#N/A,FALSE,"Lab Samples";#N/A,#N/A,FALSE,"Product Cycles 5-4";#N/A,#N/A,FALSE,"5-4.1";#N/A,#N/A,FALSE,"5-4.2";#N/A,#N/A,FALSE,"Physical Prop Data"}</definedName>
    <definedName name="asdf" localSheetId="7" hidden="1">{#N/A,#N/A,FALSE,"Annual Summary";#N/A,#N/A,FALSE,"Hourly Summary";#N/A,#N/A,FALSE,"Flare Combustion";#N/A,#N/A,FALSE,"Shipping";#N/A,#N/A,FALSE,"Process Turnaround";#N/A,#N/A,FALSE,"Lab Samples";#N/A,#N/A,FALSE,"Product Cycles 5-4";#N/A,#N/A,FALSE,"5-4.1";#N/A,#N/A,FALSE,"5-4.2";#N/A,#N/A,FALSE,"Physical Prop Data"}</definedName>
    <definedName name="asdf" hidden="1">{#N/A,#N/A,FALSE,"Annual Summary";#N/A,#N/A,FALSE,"Hourly Summary";#N/A,#N/A,FALSE,"Flare Combustion";#N/A,#N/A,FALSE,"Shipping";#N/A,#N/A,FALSE,"Process Turnaround";#N/A,#N/A,FALSE,"Lab Samples";#N/A,#N/A,FALSE,"Product Cycles 5-4";#N/A,#N/A,FALSE,"5-4.1";#N/A,#N/A,FALSE,"5-4.2";#N/A,#N/A,FALSE,"Physical Prop Data"}</definedName>
    <definedName name="B" localSheetId="8" hidden="1">{#N/A,#N/A,FALSE,"Annual Summary";#N/A,#N/A,FALSE,"Hourly Summary";#N/A,#N/A,FALSE,"Flare Combustion";#N/A,#N/A,FALSE,"Shipping";#N/A,#N/A,FALSE,"Process Turnaround";#N/A,#N/A,FALSE,"Lab Samples";#N/A,#N/A,FALSE,"Product Cycles 5-4";#N/A,#N/A,FALSE,"5-4.1";#N/A,#N/A,FALSE,"5-4.2";#N/A,#N/A,FALSE,"Physical Prop Data"}</definedName>
    <definedName name="B" localSheetId="7" hidden="1">{#N/A,#N/A,FALSE,"Annual Summary";#N/A,#N/A,FALSE,"Hourly Summary";#N/A,#N/A,FALSE,"Flare Combustion";#N/A,#N/A,FALSE,"Shipping";#N/A,#N/A,FALSE,"Process Turnaround";#N/A,#N/A,FALSE,"Lab Samples";#N/A,#N/A,FALSE,"Product Cycles 5-4";#N/A,#N/A,FALSE,"5-4.1";#N/A,#N/A,FALSE,"5-4.2";#N/A,#N/A,FALSE,"Physical Prop Data"}</definedName>
    <definedName name="B" hidden="1">{#N/A,#N/A,FALSE,"Annual Summary";#N/A,#N/A,FALSE,"Hourly Summary";#N/A,#N/A,FALSE,"Flare Combustion";#N/A,#N/A,FALSE,"Shipping";#N/A,#N/A,FALSE,"Process Turnaround";#N/A,#N/A,FALSE,"Lab Samples";#N/A,#N/A,FALSE,"Product Cycles 5-4";#N/A,#N/A,FALSE,"5-4.1";#N/A,#N/A,FALSE,"5-4.2";#N/A,#N/A,FALSE,"Physical Prop Data"}</definedName>
    <definedName name="BP1HRS">#REF!</definedName>
    <definedName name="BP2HRS">#REF!</definedName>
    <definedName name="coat">#REF!</definedName>
    <definedName name="coef">#REF!</definedName>
    <definedName name="comb1">#REF!</definedName>
    <definedName name="comb24">#REF!</definedName>
    <definedName name="comb24c1">#REF!</definedName>
    <definedName name="comb3">#REF!</definedName>
    <definedName name="comb3c1">#REF!</definedName>
    <definedName name="comb8">#REF!</definedName>
    <definedName name="combac1">#REF!</definedName>
    <definedName name="combann">#REF!</definedName>
    <definedName name="Combined" localSheetId="7">Summary,Detailed</definedName>
    <definedName name="Combined">Summary,Detailed</definedName>
    <definedName name="Combined_1" localSheetId="7">Summary,Detailed</definedName>
    <definedName name="Combined_1">Summary,Detailed</definedName>
    <definedName name="Combined_2" localSheetId="7">Summary,Detailed</definedName>
    <definedName name="Combined_2">Summary,Detailed</definedName>
    <definedName name="COMMITTED" hidden="1">"TRUE"</definedName>
    <definedName name="Components">#REF!</definedName>
    <definedName name="Compressor2" localSheetId="7">[0]!Summary,[0]!Detailed</definedName>
    <definedName name="Compressor2">[0]!Summary,[0]!Detailed</definedName>
    <definedName name="config">#REF!</definedName>
    <definedName name="dasf" hidden="1">#REF!</definedName>
    <definedName name="data1" hidden="1">#REF!</definedName>
    <definedName name="data2" hidden="1">#REF!</definedName>
    <definedName name="data3" hidden="1">#REF!</definedName>
    <definedName name="ddd" localSheetId="8" hidden="1">{"Detailed",#N/A,FALSE,"GAS-COMB";"Summary",#N/A,FALSE,"GAS-COMB"}</definedName>
    <definedName name="ddd" hidden="1">{"Detailed",#N/A,FALSE,"GAS-COMB";"Summary",#N/A,FALSE,"GAS-COMB"}</definedName>
    <definedName name="Discount" hidden="1">#REF!</definedName>
    <definedName name="display_area_2" hidden="1">#REF!</definedName>
    <definedName name="ee" localSheetId="8" hidden="1">{#N/A,#N/A,FALSE,"Rates";#N/A,#N/A,FALSE,"Summary";#N/A,#N/A,FALSE,"Boilers";#N/A,#N/A,FALSE,"Cyclones";#N/A,#N/A,FALSE,"Saws";#N/A,#N/A,FALSE,"Drops";#N/A,#N/A,FALSE,"Piles";#N/A,#N/A,FALSE,"Roads";#N/A,#N/A,FALSE,"Tanks";#N/A,#N/A,FALSE,"Kilns";#N/A,#N/A,FALSE,"Model"}</definedName>
    <definedName name="ee" hidden="1">{#N/A,#N/A,FALSE,"Rates";#N/A,#N/A,FALSE,"Summary";#N/A,#N/A,FALSE,"Boilers";#N/A,#N/A,FALSE,"Cyclones";#N/A,#N/A,FALSE,"Saws";#N/A,#N/A,FALSE,"Drops";#N/A,#N/A,FALSE,"Piles";#N/A,#N/A,FALSE,"Roads";#N/A,#N/A,FALSE,"Tanks";#N/A,#N/A,FALSE,"Kilns";#N/A,#N/A,FALSE,"Model"}</definedName>
    <definedName name="Equations1">#REF!</definedName>
    <definedName name="fasdfsdaf" hidden="1">#REF!</definedName>
    <definedName name="FCode" hidden="1">#REF!</definedName>
    <definedName name="FCode1" hidden="1">#REF!</definedName>
    <definedName name="FOTYPE">#REF!</definedName>
    <definedName name="HiddenRows" hidden="1">#REF!</definedName>
    <definedName name="Input1">#REF!</definedName>
    <definedName name="jk" hidden="1">#REF!</definedName>
    <definedName name="kb" localSheetId="8" hidden="1">{#N/A,#N/A,FALSE,"F1-Currrent";#N/A,#N/A,FALSE,"F2-Current";#N/A,#N/A,FALSE,"F2-Proposed";#N/A,#N/A,FALSE,"F3-Current";#N/A,#N/A,FALSE,"F4-Current";#N/A,#N/A,FALSE,"F4-Proposed";#N/A,#N/A,FALSE,"Controls"}</definedName>
    <definedName name="kb" hidden="1">{#N/A,#N/A,FALSE,"F1-Currrent";#N/A,#N/A,FALSE,"F2-Current";#N/A,#N/A,FALSE,"F2-Proposed";#N/A,#N/A,FALSE,"F3-Current";#N/A,#N/A,FALSE,"F4-Current";#N/A,#N/A,FALSE,"F4-Proposed";#N/A,#N/A,FALSE,"Controls"}</definedName>
    <definedName name="leah" localSheetId="8" hidden="1">{#N/A,#N/A,FALSE,"Annual Summary";#N/A,#N/A,FALSE,"Hourly Summary";#N/A,#N/A,FALSE,"Flare Combustion";#N/A,#N/A,FALSE,"Shipping";#N/A,#N/A,FALSE,"Process Turnaround";#N/A,#N/A,FALSE,"Lab Samples";#N/A,#N/A,FALSE,"Product Cycles 5-4";#N/A,#N/A,FALSE,"5-4.1";#N/A,#N/A,FALSE,"5-4.2";#N/A,#N/A,FALSE,"Physical Prop Data"}</definedName>
    <definedName name="leah" localSheetId="7" hidden="1">{#N/A,#N/A,FALSE,"Annual Summary";#N/A,#N/A,FALSE,"Hourly Summary";#N/A,#N/A,FALSE,"Flare Combustion";#N/A,#N/A,FALSE,"Shipping";#N/A,#N/A,FALSE,"Process Turnaround";#N/A,#N/A,FALSE,"Lab Samples";#N/A,#N/A,FALSE,"Product Cycles 5-4";#N/A,#N/A,FALSE,"5-4.1";#N/A,#N/A,FALSE,"5-4.2";#N/A,#N/A,FALSE,"Physical Prop Data"}</definedName>
    <definedName name="leah" hidden="1">{#N/A,#N/A,FALSE,"Annual Summary";#N/A,#N/A,FALSE,"Hourly Summary";#N/A,#N/A,FALSE,"Flare Combustion";#N/A,#N/A,FALSE,"Shipping";#N/A,#N/A,FALSE,"Process Turnaround";#N/A,#N/A,FALSE,"Lab Samples";#N/A,#N/A,FALSE,"Product Cycles 5-4";#N/A,#N/A,FALSE,"5-4.1";#N/A,#N/A,FALSE,"5-4.2";#N/A,#N/A,FALSE,"Physical Prop Data"}</definedName>
    <definedName name="Loading">#REF!</definedName>
    <definedName name="location">#REF!</definedName>
    <definedName name="MatUsageTab">#REF!</definedName>
    <definedName name="mg" localSheetId="8" hidden="1">{#N/A,#N/A,FALSE,"F1-Currrent";#N/A,#N/A,FALSE,"F2-Current";#N/A,#N/A,FALSE,"F2-Proposed";#N/A,#N/A,FALSE,"F3-Current";#N/A,#N/A,FALSE,"F4-Current";#N/A,#N/A,FALSE,"F4-Proposed";#N/A,#N/A,FALSE,"Controls"}</definedName>
    <definedName name="mg" hidden="1">{#N/A,#N/A,FALSE,"F1-Currrent";#N/A,#N/A,FALSE,"F2-Current";#N/A,#N/A,FALSE,"F2-Proposed";#N/A,#N/A,FALSE,"F3-Current";#N/A,#N/A,FALSE,"F4-Current";#N/A,#N/A,FALSE,"F4-Proposed";#N/A,#N/A,FALSE,"Controls"}</definedName>
    <definedName name="Mode">#REF!</definedName>
    <definedName name="N2PrintArea">#REF!</definedName>
    <definedName name="noxef">#REF!</definedName>
    <definedName name="NPrintArea">#REF!</definedName>
    <definedName name="OrderTable" hidden="1">#REF!</definedName>
    <definedName name="OriginalName" hidden="1">"C30-PLUS1"</definedName>
    <definedName name="OvenMonth">#REF!</definedName>
    <definedName name="partef">#REF!</definedName>
    <definedName name="_xlnm.Print_Area" localSheetId="27">'12c. Boiler 3 (B003)'!$A$1:$G$168</definedName>
    <definedName name="_xlnm.Print_Area" localSheetId="28">'12d. Boiler 4 (B004)'!$A$1:$G$168</definedName>
    <definedName name="_xlnm.Print_Area" localSheetId="15">'Ammonia Simple'!$A$3:$K$48</definedName>
    <definedName name="_xlnm.Print_Area" localSheetId="17">'CO Simple'!$A$3:$K$48</definedName>
    <definedName name="_xlnm.Print_Area" localSheetId="19">'CO2 Simple'!$A$3:$K$48</definedName>
    <definedName name="_xlnm.Print_Area" localSheetId="1">'Key Inputs'!$B$3:$K$61</definedName>
    <definedName name="_xlnm.Print_Area" localSheetId="18">'Lead Simple'!$A$3:$K$48</definedName>
    <definedName name="_xlnm.Print_Area" localSheetId="20">'Methane Simple'!$A$3:$K$48</definedName>
    <definedName name="_xlnm.Print_Area" localSheetId="21">'N2O Simple'!$A$3:$K$48</definedName>
    <definedName name="_xlnm.Print_Area" localSheetId="5">'NEW Boiler 5 PTE (B005)'!$B$3:$G$185</definedName>
    <definedName name="_xlnm.Print_Area" localSheetId="13">'NOx Simple'!$A$3:$K$48</definedName>
    <definedName name="_xlnm.Print_Area" localSheetId="2">'NSR Summary'!$B$5:$L$26</definedName>
    <definedName name="_xlnm.Print_Area" localSheetId="9">'PM Simple'!$A$3:$K$55</definedName>
    <definedName name="_xlnm.Print_Area" localSheetId="10">'PM10 Simple'!$A$3:$K$48</definedName>
    <definedName name="_xlnm.Print_Area" localSheetId="11">'PM2.5 Simple'!$A$3:$K$48</definedName>
    <definedName name="_xlnm.Print_Area" localSheetId="12">'PMCOND Simple'!$A$3:$K$48</definedName>
    <definedName name="_xlnm.Print_Area" localSheetId="16">'SOx Simple'!$A$3:$K$48</definedName>
    <definedName name="_xlnm.Print_Area" localSheetId="3">Summary_Individual!$C$3:$AC$25</definedName>
    <definedName name="_xlnm.Print_Area" localSheetId="7">'Toxics Summary'!$B$4:$I$222</definedName>
    <definedName name="_xlnm.Print_Area" localSheetId="14">'VOC Simple'!$A$3:$K$48</definedName>
    <definedName name="_xlnm.Print_Titles" localSheetId="27">'12c. Boiler 3 (B003)'!$1:$17</definedName>
    <definedName name="_xlnm.Print_Titles" localSheetId="28">'12d. Boiler 4 (B004)'!$1:$17</definedName>
    <definedName name="_xlnm.Print_Titles" localSheetId="5">'NEW Boiler 5 PTE (B005)'!$1:$20</definedName>
    <definedName name="_xlnm.Print_Titles" localSheetId="3">Summary_Individual!$C:$C</definedName>
    <definedName name="_xlnm.Print_Titles" localSheetId="7">'Toxics Summary'!$4:$8</definedName>
    <definedName name="ProdForm" hidden="1">#REF!</definedName>
    <definedName name="Product" hidden="1">#REF!</definedName>
    <definedName name="Pump">#REF!</definedName>
    <definedName name="RCArea" hidden="1">#REF!</definedName>
    <definedName name="RY_Values" localSheetId="7">OFFSET([0]!RX_Values,0,2)</definedName>
    <definedName name="RY_Values">OFFSET([0]!RX_Values,0,2)</definedName>
    <definedName name="sencount" hidden="1">2</definedName>
    <definedName name="Service">#REF!</definedName>
    <definedName name="SIC">#REF!</definedName>
    <definedName name="so2ef">#REF!</definedName>
    <definedName name="SpecialPrice" hidden="1">#REF!</definedName>
    <definedName name="StackData">#REF!</definedName>
    <definedName name="sulfurpercent">#REF!</definedName>
    <definedName name="TableName">"Dummy"</definedName>
    <definedName name="Tanks">#REF!</definedName>
    <definedName name="tbl_ProdInfo" hidden="1">#REF!</definedName>
    <definedName name="test" localSheetId="27" hidden="1">{"Detailed",#N/A,FALSE,"GAS-COMB";"Summary",#N/A,FALSE,"GAS-COMB"}</definedName>
    <definedName name="test" localSheetId="28" hidden="1">{"Detailed",#N/A,FALSE,"GAS-COMB";"Summary",#N/A,FALSE,"GAS-COMB"}</definedName>
    <definedName name="test" localSheetId="8" hidden="1">{"Detailed",#N/A,FALSE,"GAS-COMB";"Summary",#N/A,FALSE,"GAS-COMB"}</definedName>
    <definedName name="test" localSheetId="5" hidden="1">{"Detailed",#N/A,FALSE,"GAS-COMB";"Summary",#N/A,FALSE,"GAS-COMB"}</definedName>
    <definedName name="test" localSheetId="7" hidden="1">{"Detailed",#N/A,FALSE,"GAS-COMB";"Summary",#N/A,FALSE,"GAS-COMB"}</definedName>
    <definedName name="test" hidden="1">{"Detailed",#N/A,FALSE,"GAS-COMB";"Summary",#N/A,FALSE,"GAS-COMB"}</definedName>
    <definedName name="testing" localSheetId="27" hidden="1">{"Detailed",#N/A,FALSE,"GAS-COMB";"Summary",#N/A,FALSE,"GAS-COMB"}</definedName>
    <definedName name="testing" localSheetId="28" hidden="1">{"Detailed",#N/A,FALSE,"GAS-COMB";"Summary",#N/A,FALSE,"GAS-COMB"}</definedName>
    <definedName name="testing" localSheetId="8" hidden="1">{"Detailed",#N/A,FALSE,"GAS-COMB";"Summary",#N/A,FALSE,"GAS-COMB"}</definedName>
    <definedName name="testing" localSheetId="5" hidden="1">{"Detailed",#N/A,FALSE,"GAS-COMB";"Summary",#N/A,FALSE,"GAS-COMB"}</definedName>
    <definedName name="testing" localSheetId="7" hidden="1">{"Detailed",#N/A,FALSE,"GAS-COMB";"Summary",#N/A,FALSE,"GAS-COMB"}</definedName>
    <definedName name="testing" hidden="1">{"Detailed",#N/A,FALSE,"GAS-COMB";"Summary",#N/A,FALSE,"GAS-COMB"}</definedName>
    <definedName name="thissheet">"[Working Balance PFD Rev G.xls]Material Balance"</definedName>
    <definedName name="TopRow1">#REF!</definedName>
    <definedName name="TURB_Load">#REF!</definedName>
    <definedName name="TURB_Make">#REF!</definedName>
    <definedName name="TURB_Model">#REF!</definedName>
    <definedName name="Turbine" localSheetId="8" hidden="1">{"Detailed",#N/A,FALSE,"GAS-COMB";"Summary",#N/A,FALSE,"GAS-COMB"}</definedName>
    <definedName name="Turbine" hidden="1">{"Detailed",#N/A,FALSE,"GAS-COMB";"Summary",#N/A,FALSE,"GAS-COMB"}</definedName>
    <definedName name="Turbine2" localSheetId="8" hidden="1">{"Detailed",#N/A,FALSE,"GAS-COMB";"Summary",#N/A,FALSE,"GAS-COMB"}</definedName>
    <definedName name="Turbine2" localSheetId="7" hidden="1">{"Detailed",#N/A,FALSE,"GAS-COMB";"Summary",#N/A,FALSE,"GAS-COMB"}</definedName>
    <definedName name="Turbine2" hidden="1">{"Detailed",#N/A,FALSE,"GAS-COMB";"Summary",#N/A,FALSE,"GAS-COMB"}</definedName>
    <definedName name="UNI_AA_VERSION" hidden="1">"150.2.0"</definedName>
    <definedName name="UNI_FILT_END" hidden="1">8</definedName>
    <definedName name="UNI_FILT_OFFSPEC" hidden="1">2</definedName>
    <definedName name="UNI_FILT_ONSPEC" hidden="1">1</definedName>
    <definedName name="UNI_FILT_START" hidden="1">4</definedName>
    <definedName name="UNI_NOTHING" hidden="1">0</definedName>
    <definedName name="UNI_PRES_CLOSEST" hidden="1">512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MRECORD" hidden="1">64</definedName>
    <definedName name="UNI_PRES_OUTLIERS" hidden="1">32</definedName>
    <definedName name="UNI_PRES_POST" hidden="1">256</definedName>
    <definedName name="UNI_PRES_PRIOR" hidden="1">2048</definedName>
    <definedName name="UNI_PRES_RECENT" hidden="1">1024</definedName>
    <definedName name="UNI_PRES_STATIC" hidden="1">128</definedName>
    <definedName name="UNI_RET_ATTRIB" hidden="1">64</definedName>
    <definedName name="UNI_RET_CONF" hidden="1">32</definedName>
    <definedName name="UNI_RET_DESC" hidden="1">4</definedName>
    <definedName name="UNI_RET_END" hidden="1">16384</definedName>
    <definedName name="UNI_RET_EQUIP" hidden="1">1</definedName>
    <definedName name="UNI_RET_EVENT" hidden="1">4096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START" hidden="1">8192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FORMANCES1R1C6" hidden="1">#REF!</definedName>
    <definedName name="UNIFORMANCES1R2C3" localSheetId="27" hidden="1">#REF!</definedName>
    <definedName name="UNIFORMANCES1R2C3" localSheetId="28" hidden="1">#REF!</definedName>
    <definedName name="UNIFORMANCES1R2C3" localSheetId="5" hidden="1">#REF!</definedName>
    <definedName name="UNIFORMANCES1R2C3" localSheetId="7" hidden="1">#REF!</definedName>
    <definedName name="UNIFORMANCES1R2C3" hidden="1">#REF!</definedName>
    <definedName name="UNIFORMANCES1R3C4" hidden="1">#N/A</definedName>
    <definedName name="UNIFORMANCES1R7C1" hidden="1">#REF!</definedName>
    <definedName name="UNIFORMANCES1R7C13" hidden="1">#REF!</definedName>
    <definedName name="UNIFORMANCES1R7C17" hidden="1">#REF!</definedName>
    <definedName name="UNIFORMANCES1R7C21" hidden="1">#REF!</definedName>
    <definedName name="UNIFORMANCES1R7C25" hidden="1">#REF!</definedName>
    <definedName name="UNIFORMANCES1R7C29" hidden="1">#REF!</definedName>
    <definedName name="UNIFORMANCES1R7C33" hidden="1">#REF!</definedName>
    <definedName name="UNIFORMANCES1R7C37" hidden="1">#REF!</definedName>
    <definedName name="UNIFORMANCES1R7C41" hidden="1">#REF!</definedName>
    <definedName name="UNIFORMANCES1R7C45" hidden="1">#REF!</definedName>
    <definedName name="UNIFORMANCES1R7C5" hidden="1">#REF!</definedName>
    <definedName name="UNIFORMANCES1R7C9" hidden="1">#REF!</definedName>
    <definedName name="UNIFORMANCES2R7C1" hidden="1">#REF!</definedName>
    <definedName name="UNIFORMANCES2R7C13" hidden="1">#REF!</definedName>
    <definedName name="UNIFORMANCES2R7C17" hidden="1">#REF!</definedName>
    <definedName name="UNIFORMANCES2R7C21" hidden="1">#REF!</definedName>
    <definedName name="UNIFORMANCES2R7C25" hidden="1">#REF!</definedName>
    <definedName name="UNIFORMANCES2R7C29" hidden="1">#REF!</definedName>
    <definedName name="UNIFORMANCES2R7C33" hidden="1">#REF!</definedName>
    <definedName name="UNIFORMANCES2R7C37" hidden="1">#REF!</definedName>
    <definedName name="UNIFORMANCES2R7C41" hidden="1">#REF!</definedName>
    <definedName name="UNIFORMANCES2R7C45" hidden="1">#REF!</definedName>
    <definedName name="UNIFORMANCES2R7C5" hidden="1">#REF!</definedName>
    <definedName name="UNIFORMANCES2R7C9" hidden="1">#REF!</definedName>
    <definedName name="UNIFORMANCES7R10C1" localSheetId="27" hidden="1">#REF!</definedName>
    <definedName name="UNIFORMANCES7R10C1" localSheetId="28" hidden="1">#REF!</definedName>
    <definedName name="UNIFORMANCES7R10C1" localSheetId="5" hidden="1">#REF!</definedName>
    <definedName name="UNIFORMANCES7R10C1" localSheetId="7" hidden="1">#REF!</definedName>
    <definedName name="UNIFORMANCES7R10C1" hidden="1">#REF!</definedName>
    <definedName name="UNIT_LBHR">"(lb/hr)"</definedName>
    <definedName name="UNIT_LBTON">"(lb/ton)"</definedName>
    <definedName name="util">#REF!</definedName>
    <definedName name="vocef">#REF!</definedName>
    <definedName name="Westport_Logo">"Object 1"</definedName>
    <definedName name="wrn.1996._.Emission._.Inventory." localSheetId="8" hidden="1">{#N/A,#N/A,FALSE,"Summary";#N/A,#N/A,FALSE,"Production";#N/A,#N/A,FALSE,"Boiler";#N/A,#N/A,FALSE,"RTO";#N/A,#N/A,FALSE,"Dryers";#N/A,#N/A,FALSE,"Presses";#N/A,#N/A,FALSE,"Kilns";#N/A,#N/A,FALSE,"Cyclones";#N/A,#N/A,FALSE,"Storage Area Fu";#N/A,#N/A,FALSE,"Proc TSP Fug";#N/A,#N/A,FALSE,"Load Fug";#N/A,#N/A,FALSE,"VOC Fug";#N/A,#N/A,FALSE,"Storage Tanks";#N/A,#N/A,FALSE,"Road Fugitives"}</definedName>
    <definedName name="wrn.1996._.Emission._.Inventory." hidden="1">{#N/A,#N/A,FALSE,"Summary";#N/A,#N/A,FALSE,"Production";#N/A,#N/A,FALSE,"Boiler";#N/A,#N/A,FALSE,"RTO";#N/A,#N/A,FALSE,"Dryers";#N/A,#N/A,FALSE,"Presses";#N/A,#N/A,FALSE,"Kilns";#N/A,#N/A,FALSE,"Cyclones";#N/A,#N/A,FALSE,"Storage Area Fu";#N/A,#N/A,FALSE,"Proc TSP Fug";#N/A,#N/A,FALSE,"Load Fug";#N/A,#N/A,FALSE,"VOC Fug";#N/A,#N/A,FALSE,"Storage Tanks";#N/A,#N/A,FALSE,"Road Fugitives"}</definedName>
    <definedName name="wrn.Appendix._.A." localSheetId="27" hidden="1">{#N/A,#N/A,TRUE,"Kiln-NOx-OxRed Scrubber";#N/A,#N/A,TRUE,"Kiln-SO2-Wet Scrubber";#N/A,#N/A,TRUE,"Slaker-PM-Scrubber";#N/A,#N/A,TRUE,"Combo-SO2-Wet Scrubber";#N/A,#N/A,TRUE,"Combo-SO2-DualAlkali";#N/A,#N/A,TRUE,"Combo-SO2-Spray Dryer ESP";#N/A,#N/A,TRUE,"CRU-NOx-OxRed Scrubber";#N/A,#N/A,TRUE,"CRU-SO2-Wet Scrubber";#N/A,#N/A,TRUE,"SDT-PM-Wet ESP";#N/A,#N/A,TRUE,"SDT-VOC-TO";#N/A,#N/A,TRUE,"Package-CO-TO";#N/A,#N/A,TRUE,"Package-PM-Baghouse";#N/A,#N/A,TRUE,"Package-PM-ESP";#N/A,#N/A,TRUE,"Package-PM-Venturi";#N/A,#N/A,TRUE,"Package-NOx-OxRed Scrubber";#N/A,#N/A,TRUE,"Package-NOx-SCR";#N/A,#N/A,TRUE,"Package-SO2-Wet Scrubber";#N/A,#N/A,TRUE,"Package-SO2-Spray Drier ESP";#N/A,#N/A,TRUE,"Power-CO-TO";#N/A,#N/A,TRUE,"Power-PM-Baghouse";#N/A,#N/A,TRUE,"Power-PM-ESP";#N/A,#N/A,TRUE,"Power-PM-Venturi";#N/A,#N/A,TRUE,"Power-NOx-OxRed Scrubber";#N/A,#N/A,TRUE,"Power-NOx-SCR";#N/A,#N/A,TRUE,"Power-SO2-Wet Lime Scrubber";#N/A,#N/A,TRUE,"Power-SO2-Spray Drier ESP";#N/A,#N/A,TRUE,"No.1 PM-VOC-Super";#N/A,#N/A,TRUE,"No.1 PM-VOC-Enhanced"}</definedName>
    <definedName name="wrn.Appendix._.A." localSheetId="28" hidden="1">{#N/A,#N/A,TRUE,"Kiln-NOx-OxRed Scrubber";#N/A,#N/A,TRUE,"Kiln-SO2-Wet Scrubber";#N/A,#N/A,TRUE,"Slaker-PM-Scrubber";#N/A,#N/A,TRUE,"Combo-SO2-Wet Scrubber";#N/A,#N/A,TRUE,"Combo-SO2-DualAlkali";#N/A,#N/A,TRUE,"Combo-SO2-Spray Dryer ESP";#N/A,#N/A,TRUE,"CRU-NOx-OxRed Scrubber";#N/A,#N/A,TRUE,"CRU-SO2-Wet Scrubber";#N/A,#N/A,TRUE,"SDT-PM-Wet ESP";#N/A,#N/A,TRUE,"SDT-VOC-TO";#N/A,#N/A,TRUE,"Package-CO-TO";#N/A,#N/A,TRUE,"Package-PM-Baghouse";#N/A,#N/A,TRUE,"Package-PM-ESP";#N/A,#N/A,TRUE,"Package-PM-Venturi";#N/A,#N/A,TRUE,"Package-NOx-OxRed Scrubber";#N/A,#N/A,TRUE,"Package-NOx-SCR";#N/A,#N/A,TRUE,"Package-SO2-Wet Scrubber";#N/A,#N/A,TRUE,"Package-SO2-Spray Drier ESP";#N/A,#N/A,TRUE,"Power-CO-TO";#N/A,#N/A,TRUE,"Power-PM-Baghouse";#N/A,#N/A,TRUE,"Power-PM-ESP";#N/A,#N/A,TRUE,"Power-PM-Venturi";#N/A,#N/A,TRUE,"Power-NOx-OxRed Scrubber";#N/A,#N/A,TRUE,"Power-NOx-SCR";#N/A,#N/A,TRUE,"Power-SO2-Wet Lime Scrubber";#N/A,#N/A,TRUE,"Power-SO2-Spray Drier ESP";#N/A,#N/A,TRUE,"No.1 PM-VOC-Super";#N/A,#N/A,TRUE,"No.1 PM-VOC-Enhanced"}</definedName>
    <definedName name="wrn.Appendix._.A." localSheetId="8" hidden="1">{#N/A,#N/A,TRUE,"Kiln-NOx-OxRed Scrubber";#N/A,#N/A,TRUE,"Kiln-SO2-Wet Scrubber";#N/A,#N/A,TRUE,"Slaker-PM-Scrubber";#N/A,#N/A,TRUE,"Combo-SO2-Wet Scrubber";#N/A,#N/A,TRUE,"Combo-SO2-DualAlkali";#N/A,#N/A,TRUE,"Combo-SO2-Spray Dryer ESP";#N/A,#N/A,TRUE,"CRU-NOx-OxRed Scrubber";#N/A,#N/A,TRUE,"CRU-SO2-Wet Scrubber";#N/A,#N/A,TRUE,"SDT-PM-Wet ESP";#N/A,#N/A,TRUE,"SDT-VOC-TO";#N/A,#N/A,TRUE,"Package-CO-TO";#N/A,#N/A,TRUE,"Package-PM-Baghouse";#N/A,#N/A,TRUE,"Package-PM-ESP";#N/A,#N/A,TRUE,"Package-PM-Venturi";#N/A,#N/A,TRUE,"Package-NOx-OxRed Scrubber";#N/A,#N/A,TRUE,"Package-NOx-SCR";#N/A,#N/A,TRUE,"Package-SO2-Wet Scrubber";#N/A,#N/A,TRUE,"Package-SO2-Spray Drier ESP";#N/A,#N/A,TRUE,"Power-CO-TO";#N/A,#N/A,TRUE,"Power-PM-Baghouse";#N/A,#N/A,TRUE,"Power-PM-ESP";#N/A,#N/A,TRUE,"Power-PM-Venturi";#N/A,#N/A,TRUE,"Power-NOx-OxRed Scrubber";#N/A,#N/A,TRUE,"Power-NOx-SCR";#N/A,#N/A,TRUE,"Power-SO2-Wet Lime Scrubber";#N/A,#N/A,TRUE,"Power-SO2-Spray Drier ESP";#N/A,#N/A,TRUE,"No.1 PM-VOC-Super";#N/A,#N/A,TRUE,"No.1 PM-VOC-Enhanced"}</definedName>
    <definedName name="wrn.Appendix._.A." localSheetId="5" hidden="1">{#N/A,#N/A,TRUE,"Kiln-NOx-OxRed Scrubber";#N/A,#N/A,TRUE,"Kiln-SO2-Wet Scrubber";#N/A,#N/A,TRUE,"Slaker-PM-Scrubber";#N/A,#N/A,TRUE,"Combo-SO2-Wet Scrubber";#N/A,#N/A,TRUE,"Combo-SO2-DualAlkali";#N/A,#N/A,TRUE,"Combo-SO2-Spray Dryer ESP";#N/A,#N/A,TRUE,"CRU-NOx-OxRed Scrubber";#N/A,#N/A,TRUE,"CRU-SO2-Wet Scrubber";#N/A,#N/A,TRUE,"SDT-PM-Wet ESP";#N/A,#N/A,TRUE,"SDT-VOC-TO";#N/A,#N/A,TRUE,"Package-CO-TO";#N/A,#N/A,TRUE,"Package-PM-Baghouse";#N/A,#N/A,TRUE,"Package-PM-ESP";#N/A,#N/A,TRUE,"Package-PM-Venturi";#N/A,#N/A,TRUE,"Package-NOx-OxRed Scrubber";#N/A,#N/A,TRUE,"Package-NOx-SCR";#N/A,#N/A,TRUE,"Package-SO2-Wet Scrubber";#N/A,#N/A,TRUE,"Package-SO2-Spray Drier ESP";#N/A,#N/A,TRUE,"Power-CO-TO";#N/A,#N/A,TRUE,"Power-PM-Baghouse";#N/A,#N/A,TRUE,"Power-PM-ESP";#N/A,#N/A,TRUE,"Power-PM-Venturi";#N/A,#N/A,TRUE,"Power-NOx-OxRed Scrubber";#N/A,#N/A,TRUE,"Power-NOx-SCR";#N/A,#N/A,TRUE,"Power-SO2-Wet Lime Scrubber";#N/A,#N/A,TRUE,"Power-SO2-Spray Drier ESP";#N/A,#N/A,TRUE,"No.1 PM-VOC-Super";#N/A,#N/A,TRUE,"No.1 PM-VOC-Enhanced"}</definedName>
    <definedName name="wrn.Appendix._.A." localSheetId="7" hidden="1">{#N/A,#N/A,TRUE,"Kiln-NOx-OxRed Scrubber";#N/A,#N/A,TRUE,"Kiln-SO2-Wet Scrubber";#N/A,#N/A,TRUE,"Slaker-PM-Scrubber";#N/A,#N/A,TRUE,"Combo-SO2-Wet Scrubber";#N/A,#N/A,TRUE,"Combo-SO2-DualAlkali";#N/A,#N/A,TRUE,"Combo-SO2-Spray Dryer ESP";#N/A,#N/A,TRUE,"CRU-NOx-OxRed Scrubber";#N/A,#N/A,TRUE,"CRU-SO2-Wet Scrubber";#N/A,#N/A,TRUE,"SDT-PM-Wet ESP";#N/A,#N/A,TRUE,"SDT-VOC-TO";#N/A,#N/A,TRUE,"Package-CO-TO";#N/A,#N/A,TRUE,"Package-PM-Baghouse";#N/A,#N/A,TRUE,"Package-PM-ESP";#N/A,#N/A,TRUE,"Package-PM-Venturi";#N/A,#N/A,TRUE,"Package-NOx-OxRed Scrubber";#N/A,#N/A,TRUE,"Package-NOx-SCR";#N/A,#N/A,TRUE,"Package-SO2-Wet Scrubber";#N/A,#N/A,TRUE,"Package-SO2-Spray Drier ESP";#N/A,#N/A,TRUE,"Power-CO-TO";#N/A,#N/A,TRUE,"Power-PM-Baghouse";#N/A,#N/A,TRUE,"Power-PM-ESP";#N/A,#N/A,TRUE,"Power-PM-Venturi";#N/A,#N/A,TRUE,"Power-NOx-OxRed Scrubber";#N/A,#N/A,TRUE,"Power-NOx-SCR";#N/A,#N/A,TRUE,"Power-SO2-Wet Lime Scrubber";#N/A,#N/A,TRUE,"Power-SO2-Spray Drier ESP";#N/A,#N/A,TRUE,"No.1 PM-VOC-Super";#N/A,#N/A,TRUE,"No.1 PM-VOC-Enhanced"}</definedName>
    <definedName name="wrn.Appendix._.A." hidden="1">{#N/A,#N/A,TRUE,"Kiln-NOx-OxRed Scrubber";#N/A,#N/A,TRUE,"Kiln-SO2-Wet Scrubber";#N/A,#N/A,TRUE,"Slaker-PM-Scrubber";#N/A,#N/A,TRUE,"Combo-SO2-Wet Scrubber";#N/A,#N/A,TRUE,"Combo-SO2-DualAlkali";#N/A,#N/A,TRUE,"Combo-SO2-Spray Dryer ESP";#N/A,#N/A,TRUE,"CRU-NOx-OxRed Scrubber";#N/A,#N/A,TRUE,"CRU-SO2-Wet Scrubber";#N/A,#N/A,TRUE,"SDT-PM-Wet ESP";#N/A,#N/A,TRUE,"SDT-VOC-TO";#N/A,#N/A,TRUE,"Package-CO-TO";#N/A,#N/A,TRUE,"Package-PM-Baghouse";#N/A,#N/A,TRUE,"Package-PM-ESP";#N/A,#N/A,TRUE,"Package-PM-Venturi";#N/A,#N/A,TRUE,"Package-NOx-OxRed Scrubber";#N/A,#N/A,TRUE,"Package-NOx-SCR";#N/A,#N/A,TRUE,"Package-SO2-Wet Scrubber";#N/A,#N/A,TRUE,"Package-SO2-Spray Drier ESP";#N/A,#N/A,TRUE,"Power-CO-TO";#N/A,#N/A,TRUE,"Power-PM-Baghouse";#N/A,#N/A,TRUE,"Power-PM-ESP";#N/A,#N/A,TRUE,"Power-PM-Venturi";#N/A,#N/A,TRUE,"Power-NOx-OxRed Scrubber";#N/A,#N/A,TRUE,"Power-NOx-SCR";#N/A,#N/A,TRUE,"Power-SO2-Wet Lime Scrubber";#N/A,#N/A,TRUE,"Power-SO2-Spray Drier ESP";#N/A,#N/A,TRUE,"No.1 PM-VOC-Super";#N/A,#N/A,TRUE,"No.1 PM-VOC-Enhanced"}</definedName>
    <definedName name="wrn.Appendix._.B" localSheetId="27" hidden="1">{#N/A,#N/A,TRUE,"Kiln-NOx-OxRed Scrubber";#N/A,#N/A,TRUE,"Kiln-SO2-Wet Scrubber";#N/A,#N/A,TRUE,"Slaker-PM-Scrubber";#N/A,#N/A,TRUE,"Combo-SO2-Wet Scrubber";#N/A,#N/A,TRUE,"Combo-SO2-DualAlkali";#N/A,#N/A,TRUE,"Combo-SO2-Spray Dryer ESP";#N/A,#N/A,TRUE,"CRU-NOx-OxRed Scrubber";#N/A,#N/A,TRUE,"CRU-SO2-Wet Scrubber";#N/A,#N/A,TRUE,"SDT-PM-Wet ESP";#N/A,#N/A,TRUE,"SDT-VOC-TO";#N/A,#N/A,TRUE,"Package-CO-TO";#N/A,#N/A,TRUE,"Package-PM-Baghouse";#N/A,#N/A,TRUE,"Package-PM-ESP";#N/A,#N/A,TRUE,"Package-PM-Venturi";#N/A,#N/A,TRUE,"Package-NOx-OxRed Scrubber";#N/A,#N/A,TRUE,"Package-NOx-SCR";#N/A,#N/A,TRUE,"Package-SO2-Wet Scrubber";#N/A,#N/A,TRUE,"Package-SO2-Spray Drier ESP";#N/A,#N/A,TRUE,"Power-CO-TO";#N/A,#N/A,TRUE,"Power-PM-Baghouse";#N/A,#N/A,TRUE,"Power-PM-ESP";#N/A,#N/A,TRUE,"Power-PM-Venturi";#N/A,#N/A,TRUE,"Power-NOx-OxRed Scrubber";#N/A,#N/A,TRUE,"Power-NOx-SCR";#N/A,#N/A,TRUE,"Power-SO2-Wet Lime Scrubber";#N/A,#N/A,TRUE,"Power-SO2-Spray Drier ESP";#N/A,#N/A,TRUE,"No.1 PM-VOC-Super";#N/A,#N/A,TRUE,"No.1 PM-VOC-Enhanced"}</definedName>
    <definedName name="wrn.Appendix._.B" localSheetId="28" hidden="1">{#N/A,#N/A,TRUE,"Kiln-NOx-OxRed Scrubber";#N/A,#N/A,TRUE,"Kiln-SO2-Wet Scrubber";#N/A,#N/A,TRUE,"Slaker-PM-Scrubber";#N/A,#N/A,TRUE,"Combo-SO2-Wet Scrubber";#N/A,#N/A,TRUE,"Combo-SO2-DualAlkali";#N/A,#N/A,TRUE,"Combo-SO2-Spray Dryer ESP";#N/A,#N/A,TRUE,"CRU-NOx-OxRed Scrubber";#N/A,#N/A,TRUE,"CRU-SO2-Wet Scrubber";#N/A,#N/A,TRUE,"SDT-PM-Wet ESP";#N/A,#N/A,TRUE,"SDT-VOC-TO";#N/A,#N/A,TRUE,"Package-CO-TO";#N/A,#N/A,TRUE,"Package-PM-Baghouse";#N/A,#N/A,TRUE,"Package-PM-ESP";#N/A,#N/A,TRUE,"Package-PM-Venturi";#N/A,#N/A,TRUE,"Package-NOx-OxRed Scrubber";#N/A,#N/A,TRUE,"Package-NOx-SCR";#N/A,#N/A,TRUE,"Package-SO2-Wet Scrubber";#N/A,#N/A,TRUE,"Package-SO2-Spray Drier ESP";#N/A,#N/A,TRUE,"Power-CO-TO";#N/A,#N/A,TRUE,"Power-PM-Baghouse";#N/A,#N/A,TRUE,"Power-PM-ESP";#N/A,#N/A,TRUE,"Power-PM-Venturi";#N/A,#N/A,TRUE,"Power-NOx-OxRed Scrubber";#N/A,#N/A,TRUE,"Power-NOx-SCR";#N/A,#N/A,TRUE,"Power-SO2-Wet Lime Scrubber";#N/A,#N/A,TRUE,"Power-SO2-Spray Drier ESP";#N/A,#N/A,TRUE,"No.1 PM-VOC-Super";#N/A,#N/A,TRUE,"No.1 PM-VOC-Enhanced"}</definedName>
    <definedName name="wrn.Appendix._.B" localSheetId="8" hidden="1">{#N/A,#N/A,TRUE,"Kiln-NOx-OxRed Scrubber";#N/A,#N/A,TRUE,"Kiln-SO2-Wet Scrubber";#N/A,#N/A,TRUE,"Slaker-PM-Scrubber";#N/A,#N/A,TRUE,"Combo-SO2-Wet Scrubber";#N/A,#N/A,TRUE,"Combo-SO2-DualAlkali";#N/A,#N/A,TRUE,"Combo-SO2-Spray Dryer ESP";#N/A,#N/A,TRUE,"CRU-NOx-OxRed Scrubber";#N/A,#N/A,TRUE,"CRU-SO2-Wet Scrubber";#N/A,#N/A,TRUE,"SDT-PM-Wet ESP";#N/A,#N/A,TRUE,"SDT-VOC-TO";#N/A,#N/A,TRUE,"Package-CO-TO";#N/A,#N/A,TRUE,"Package-PM-Baghouse";#N/A,#N/A,TRUE,"Package-PM-ESP";#N/A,#N/A,TRUE,"Package-PM-Venturi";#N/A,#N/A,TRUE,"Package-NOx-OxRed Scrubber";#N/A,#N/A,TRUE,"Package-NOx-SCR";#N/A,#N/A,TRUE,"Package-SO2-Wet Scrubber";#N/A,#N/A,TRUE,"Package-SO2-Spray Drier ESP";#N/A,#N/A,TRUE,"Power-CO-TO";#N/A,#N/A,TRUE,"Power-PM-Baghouse";#N/A,#N/A,TRUE,"Power-PM-ESP";#N/A,#N/A,TRUE,"Power-PM-Venturi";#N/A,#N/A,TRUE,"Power-NOx-OxRed Scrubber";#N/A,#N/A,TRUE,"Power-NOx-SCR";#N/A,#N/A,TRUE,"Power-SO2-Wet Lime Scrubber";#N/A,#N/A,TRUE,"Power-SO2-Spray Drier ESP";#N/A,#N/A,TRUE,"No.1 PM-VOC-Super";#N/A,#N/A,TRUE,"No.1 PM-VOC-Enhanced"}</definedName>
    <definedName name="wrn.Appendix._.B" localSheetId="5" hidden="1">{#N/A,#N/A,TRUE,"Kiln-NOx-OxRed Scrubber";#N/A,#N/A,TRUE,"Kiln-SO2-Wet Scrubber";#N/A,#N/A,TRUE,"Slaker-PM-Scrubber";#N/A,#N/A,TRUE,"Combo-SO2-Wet Scrubber";#N/A,#N/A,TRUE,"Combo-SO2-DualAlkali";#N/A,#N/A,TRUE,"Combo-SO2-Spray Dryer ESP";#N/A,#N/A,TRUE,"CRU-NOx-OxRed Scrubber";#N/A,#N/A,TRUE,"CRU-SO2-Wet Scrubber";#N/A,#N/A,TRUE,"SDT-PM-Wet ESP";#N/A,#N/A,TRUE,"SDT-VOC-TO";#N/A,#N/A,TRUE,"Package-CO-TO";#N/A,#N/A,TRUE,"Package-PM-Baghouse";#N/A,#N/A,TRUE,"Package-PM-ESP";#N/A,#N/A,TRUE,"Package-PM-Venturi";#N/A,#N/A,TRUE,"Package-NOx-OxRed Scrubber";#N/A,#N/A,TRUE,"Package-NOx-SCR";#N/A,#N/A,TRUE,"Package-SO2-Wet Scrubber";#N/A,#N/A,TRUE,"Package-SO2-Spray Drier ESP";#N/A,#N/A,TRUE,"Power-CO-TO";#N/A,#N/A,TRUE,"Power-PM-Baghouse";#N/A,#N/A,TRUE,"Power-PM-ESP";#N/A,#N/A,TRUE,"Power-PM-Venturi";#N/A,#N/A,TRUE,"Power-NOx-OxRed Scrubber";#N/A,#N/A,TRUE,"Power-NOx-SCR";#N/A,#N/A,TRUE,"Power-SO2-Wet Lime Scrubber";#N/A,#N/A,TRUE,"Power-SO2-Spray Drier ESP";#N/A,#N/A,TRUE,"No.1 PM-VOC-Super";#N/A,#N/A,TRUE,"No.1 PM-VOC-Enhanced"}</definedName>
    <definedName name="wrn.Appendix._.B" localSheetId="7" hidden="1">{#N/A,#N/A,TRUE,"Kiln-NOx-OxRed Scrubber";#N/A,#N/A,TRUE,"Kiln-SO2-Wet Scrubber";#N/A,#N/A,TRUE,"Slaker-PM-Scrubber";#N/A,#N/A,TRUE,"Combo-SO2-Wet Scrubber";#N/A,#N/A,TRUE,"Combo-SO2-DualAlkali";#N/A,#N/A,TRUE,"Combo-SO2-Spray Dryer ESP";#N/A,#N/A,TRUE,"CRU-NOx-OxRed Scrubber";#N/A,#N/A,TRUE,"CRU-SO2-Wet Scrubber";#N/A,#N/A,TRUE,"SDT-PM-Wet ESP";#N/A,#N/A,TRUE,"SDT-VOC-TO";#N/A,#N/A,TRUE,"Package-CO-TO";#N/A,#N/A,TRUE,"Package-PM-Baghouse";#N/A,#N/A,TRUE,"Package-PM-ESP";#N/A,#N/A,TRUE,"Package-PM-Venturi";#N/A,#N/A,TRUE,"Package-NOx-OxRed Scrubber";#N/A,#N/A,TRUE,"Package-NOx-SCR";#N/A,#N/A,TRUE,"Package-SO2-Wet Scrubber";#N/A,#N/A,TRUE,"Package-SO2-Spray Drier ESP";#N/A,#N/A,TRUE,"Power-CO-TO";#N/A,#N/A,TRUE,"Power-PM-Baghouse";#N/A,#N/A,TRUE,"Power-PM-ESP";#N/A,#N/A,TRUE,"Power-PM-Venturi";#N/A,#N/A,TRUE,"Power-NOx-OxRed Scrubber";#N/A,#N/A,TRUE,"Power-NOx-SCR";#N/A,#N/A,TRUE,"Power-SO2-Wet Lime Scrubber";#N/A,#N/A,TRUE,"Power-SO2-Spray Drier ESP";#N/A,#N/A,TRUE,"No.1 PM-VOC-Super";#N/A,#N/A,TRUE,"No.1 PM-VOC-Enhanced"}</definedName>
    <definedName name="wrn.Appendix._.B" hidden="1">{#N/A,#N/A,TRUE,"Kiln-NOx-OxRed Scrubber";#N/A,#N/A,TRUE,"Kiln-SO2-Wet Scrubber";#N/A,#N/A,TRUE,"Slaker-PM-Scrubber";#N/A,#N/A,TRUE,"Combo-SO2-Wet Scrubber";#N/A,#N/A,TRUE,"Combo-SO2-DualAlkali";#N/A,#N/A,TRUE,"Combo-SO2-Spray Dryer ESP";#N/A,#N/A,TRUE,"CRU-NOx-OxRed Scrubber";#N/A,#N/A,TRUE,"CRU-SO2-Wet Scrubber";#N/A,#N/A,TRUE,"SDT-PM-Wet ESP";#N/A,#N/A,TRUE,"SDT-VOC-TO";#N/A,#N/A,TRUE,"Package-CO-TO";#N/A,#N/A,TRUE,"Package-PM-Baghouse";#N/A,#N/A,TRUE,"Package-PM-ESP";#N/A,#N/A,TRUE,"Package-PM-Venturi";#N/A,#N/A,TRUE,"Package-NOx-OxRed Scrubber";#N/A,#N/A,TRUE,"Package-NOx-SCR";#N/A,#N/A,TRUE,"Package-SO2-Wet Scrubber";#N/A,#N/A,TRUE,"Package-SO2-Spray Drier ESP";#N/A,#N/A,TRUE,"Power-CO-TO";#N/A,#N/A,TRUE,"Power-PM-Baghouse";#N/A,#N/A,TRUE,"Power-PM-ESP";#N/A,#N/A,TRUE,"Power-PM-Venturi";#N/A,#N/A,TRUE,"Power-NOx-OxRed Scrubber";#N/A,#N/A,TRUE,"Power-NOx-SCR";#N/A,#N/A,TRUE,"Power-SO2-Wet Lime Scrubber";#N/A,#N/A,TRUE,"Power-SO2-Spray Drier ESP";#N/A,#N/A,TRUE,"No.1 PM-VOC-Super";#N/A,#N/A,TRUE,"No.1 PM-VOC-Enhanced"}</definedName>
    <definedName name="wrn.Appendix._.B." localSheetId="27" hidden="1">{#N/A,#N/A,TRUE,"(B-1) LimeKiln";#N/A,#N/A,TRUE,"(B-2) LimeSlaker";#N/A,#N/A,TRUE,"(B-3) Combo";#N/A,#N/A,TRUE,"(B-4) CRF";#N/A,#N/A,TRUE,"(B-5) SDT";#N/A,#N/A,TRUE,"(B-6) Fuel Oil";#N/A,#N/A,TRUE,"(B-7) NaturalGas"}</definedName>
    <definedName name="wrn.Appendix._.B." localSheetId="28" hidden="1">{#N/A,#N/A,TRUE,"(B-1) LimeKiln";#N/A,#N/A,TRUE,"(B-2) LimeSlaker";#N/A,#N/A,TRUE,"(B-3) Combo";#N/A,#N/A,TRUE,"(B-4) CRF";#N/A,#N/A,TRUE,"(B-5) SDT";#N/A,#N/A,TRUE,"(B-6) Fuel Oil";#N/A,#N/A,TRUE,"(B-7) NaturalGas"}</definedName>
    <definedName name="wrn.Appendix._.B." localSheetId="8" hidden="1">{#N/A,#N/A,TRUE,"(B-1) LimeKiln";#N/A,#N/A,TRUE,"(B-2) LimeSlaker";#N/A,#N/A,TRUE,"(B-3) Combo";#N/A,#N/A,TRUE,"(B-4) CRF";#N/A,#N/A,TRUE,"(B-5) SDT";#N/A,#N/A,TRUE,"(B-6) Fuel Oil";#N/A,#N/A,TRUE,"(B-7) NaturalGas"}</definedName>
    <definedName name="wrn.Appendix._.B." localSheetId="5" hidden="1">{#N/A,#N/A,TRUE,"(B-1) LimeKiln";#N/A,#N/A,TRUE,"(B-2) LimeSlaker";#N/A,#N/A,TRUE,"(B-3) Combo";#N/A,#N/A,TRUE,"(B-4) CRF";#N/A,#N/A,TRUE,"(B-5) SDT";#N/A,#N/A,TRUE,"(B-6) Fuel Oil";#N/A,#N/A,TRUE,"(B-7) NaturalGas"}</definedName>
    <definedName name="wrn.Appendix._.B." localSheetId="7" hidden="1">{#N/A,#N/A,TRUE,"(B-1) LimeKiln";#N/A,#N/A,TRUE,"(B-2) LimeSlaker";#N/A,#N/A,TRUE,"(B-3) Combo";#N/A,#N/A,TRUE,"(B-4) CRF";#N/A,#N/A,TRUE,"(B-5) SDT";#N/A,#N/A,TRUE,"(B-6) Fuel Oil";#N/A,#N/A,TRUE,"(B-7) NaturalGas"}</definedName>
    <definedName name="wrn.Appendix._.B." hidden="1">{#N/A,#N/A,TRUE,"(B-1) LimeKiln";#N/A,#N/A,TRUE,"(B-2) LimeSlaker";#N/A,#N/A,TRUE,"(B-3) Combo";#N/A,#N/A,TRUE,"(B-4) CRF";#N/A,#N/A,TRUE,"(B-5) SDT";#N/A,#N/A,TRUE,"(B-6) Fuel Oil";#N/A,#N/A,TRUE,"(B-7) NaturalGas"}</definedName>
    <definedName name="wrn.Appendix._.S." localSheetId="27" hidden="1">{#N/A,#N/A,TRUE,"Introduction";#N/A,#N/A,TRUE,"Emissions Inventory";#N/A,#N/A,TRUE,"Source Data"}</definedName>
    <definedName name="wrn.Appendix._.S." localSheetId="28" hidden="1">{#N/A,#N/A,TRUE,"Introduction";#N/A,#N/A,TRUE,"Emissions Inventory";#N/A,#N/A,TRUE,"Source Data"}</definedName>
    <definedName name="wrn.Appendix._.S." localSheetId="8" hidden="1">{#N/A,#N/A,TRUE,"Introduction";#N/A,#N/A,TRUE,"Emissions Inventory";#N/A,#N/A,TRUE,"Source Data"}</definedName>
    <definedName name="wrn.Appendix._.S." localSheetId="5" hidden="1">{#N/A,#N/A,TRUE,"Introduction";#N/A,#N/A,TRUE,"Emissions Inventory";#N/A,#N/A,TRUE,"Source Data"}</definedName>
    <definedName name="wrn.Appendix._.S." localSheetId="7" hidden="1">{#N/A,#N/A,TRUE,"Introduction";#N/A,#N/A,TRUE,"Emissions Inventory";#N/A,#N/A,TRUE,"Source Data"}</definedName>
    <definedName name="wrn.Appendix._.S." hidden="1">{#N/A,#N/A,TRUE,"Introduction";#N/A,#N/A,TRUE,"Emissions Inventory";#N/A,#N/A,TRUE,"Source Data"}</definedName>
    <definedName name="wrn.Calcs." localSheetId="8" hidden="1">{#N/A,#N/A,FALSE,"Summary";#N/A,#N/A,FALSE,"Baghouses - Flow";#N/A,#N/A,FALSE,"2-95 Hot Press";#N/A,#N/A,FALSE,"3-95 I-Assembly";#N/A,#N/A,FALSE,"4-95 Hot Oil Heater";#N/A,#N/A,FALSE,"6-95 Diesel Tank";#N/A,#N/A,FALSE,"1-97 LVL Assembly";#N/A,#N/A,FALSE,"4-97 Glue Fugitives";#N/A,#N/A,FALSE,"5-97 LVL Surface Pre-Heaters";#N/A,#N/A,FALSE,"6-97 LVL Conditioning Heaters";#N/A,#N/A,FALSE,"8-97 Fugitive Inks";#N/A,#N/A,FALSE,"Tanks";#N/A,#N/A,FALSE,"I-Assembly Cond. Heaters"}</definedName>
    <definedName name="wrn.Calcs." localSheetId="7" hidden="1">{#N/A,#N/A,FALSE,"Summary";#N/A,#N/A,FALSE,"Baghouses - Flow";#N/A,#N/A,FALSE,"2-95 Hot Press";#N/A,#N/A,FALSE,"3-95 I-Assembly";#N/A,#N/A,FALSE,"4-95 Hot Oil Heater";#N/A,#N/A,FALSE,"6-95 Diesel Tank";#N/A,#N/A,FALSE,"1-97 LVL Assembly";#N/A,#N/A,FALSE,"4-97 Glue Fugitives";#N/A,#N/A,FALSE,"5-97 LVL Surface Pre-Heaters";#N/A,#N/A,FALSE,"6-97 LVL Conditioning Heaters";#N/A,#N/A,FALSE,"8-97 Fugitive Inks";#N/A,#N/A,FALSE,"Tanks";#N/A,#N/A,FALSE,"I-Assembly Cond. Heaters"}</definedName>
    <definedName name="wrn.Calcs." hidden="1">{#N/A,#N/A,FALSE,"Summary";#N/A,#N/A,FALSE,"Baghouses - Flow";#N/A,#N/A,FALSE,"2-95 Hot Press";#N/A,#N/A,FALSE,"3-95 I-Assembly";#N/A,#N/A,FALSE,"4-95 Hot Oil Heater";#N/A,#N/A,FALSE,"6-95 Diesel Tank";#N/A,#N/A,FALSE,"1-97 LVL Assembly";#N/A,#N/A,FALSE,"4-97 Glue Fugitives";#N/A,#N/A,FALSE,"5-97 LVL Surface Pre-Heaters";#N/A,#N/A,FALSE,"6-97 LVL Conditioning Heaters";#N/A,#N/A,FALSE,"8-97 Fugitive Inks";#N/A,#N/A,FALSE,"Tanks";#N/A,#N/A,FALSE,"I-Assembly Cond. Heaters"}</definedName>
    <definedName name="wrn.COMPLETEPRINT." localSheetId="27" hidden="1">{#N/A,#N/A,FALSE,"Rates";#N/A,#N/A,FALSE,"Summary";#N/A,#N/A,FALSE,"Boilers";#N/A,#N/A,FALSE,"Cyclones";#N/A,#N/A,FALSE,"Saws";#N/A,#N/A,FALSE,"Drops";#N/A,#N/A,FALSE,"Piles";#N/A,#N/A,FALSE,"Roads";#N/A,#N/A,FALSE,"Tanks";#N/A,#N/A,FALSE,"Kilns";#N/A,#N/A,FALSE,"Model"}</definedName>
    <definedName name="wrn.COMPLETEPRINT." localSheetId="28" hidden="1">{#N/A,#N/A,FALSE,"Rates";#N/A,#N/A,FALSE,"Summary";#N/A,#N/A,FALSE,"Boilers";#N/A,#N/A,FALSE,"Cyclones";#N/A,#N/A,FALSE,"Saws";#N/A,#N/A,FALSE,"Drops";#N/A,#N/A,FALSE,"Piles";#N/A,#N/A,FALSE,"Roads";#N/A,#N/A,FALSE,"Tanks";#N/A,#N/A,FALSE,"Kilns";#N/A,#N/A,FALSE,"Model"}</definedName>
    <definedName name="wrn.COMPLETEPRINT." localSheetId="8" hidden="1">{#N/A,#N/A,FALSE,"Rates";#N/A,#N/A,FALSE,"Summary";#N/A,#N/A,FALSE,"Boilers";#N/A,#N/A,FALSE,"Cyclones";#N/A,#N/A,FALSE,"Saws";#N/A,#N/A,FALSE,"Drops";#N/A,#N/A,FALSE,"Piles";#N/A,#N/A,FALSE,"Roads";#N/A,#N/A,FALSE,"Tanks";#N/A,#N/A,FALSE,"Kilns";#N/A,#N/A,FALSE,"Model"}</definedName>
    <definedName name="wrn.COMPLETEPRINT." localSheetId="5" hidden="1">{#N/A,#N/A,FALSE,"Rates";#N/A,#N/A,FALSE,"Summary";#N/A,#N/A,FALSE,"Boilers";#N/A,#N/A,FALSE,"Cyclones";#N/A,#N/A,FALSE,"Saws";#N/A,#N/A,FALSE,"Drops";#N/A,#N/A,FALSE,"Piles";#N/A,#N/A,FALSE,"Roads";#N/A,#N/A,FALSE,"Tanks";#N/A,#N/A,FALSE,"Kilns";#N/A,#N/A,FALSE,"Model"}</definedName>
    <definedName name="wrn.COMPLETEPRINT." localSheetId="7" hidden="1">{#N/A,#N/A,FALSE,"Rates";#N/A,#N/A,FALSE,"Summary";#N/A,#N/A,FALSE,"Boilers";#N/A,#N/A,FALSE,"Cyclones";#N/A,#N/A,FALSE,"Saws";#N/A,#N/A,FALSE,"Drops";#N/A,#N/A,FALSE,"Piles";#N/A,#N/A,FALSE,"Roads";#N/A,#N/A,FALSE,"Tanks";#N/A,#N/A,FALSE,"Kilns";#N/A,#N/A,FALSE,"Model"}</definedName>
    <definedName name="wrn.COMPLETEPRINT." hidden="1">{#N/A,#N/A,FALSE,"Rates";#N/A,#N/A,FALSE,"Summary";#N/A,#N/A,FALSE,"Boilers";#N/A,#N/A,FALSE,"Cyclones";#N/A,#N/A,FALSE,"Saws";#N/A,#N/A,FALSE,"Drops";#N/A,#N/A,FALSE,"Piles";#N/A,#N/A,FALSE,"Roads";#N/A,#N/A,FALSE,"Tanks";#N/A,#N/A,FALSE,"Kilns";#N/A,#N/A,FALSE,"Model"}</definedName>
    <definedName name="wrn.Compositions." localSheetId="8" hidden="1">{"Compositions",#N/A,FALSE,"TTU Summary"}</definedName>
    <definedName name="wrn.Compositions." hidden="1">{"Compositions",#N/A,FALSE,"TTU Summary"}</definedName>
    <definedName name="wrn.Crosby._.Modeling._.Summary." localSheetId="8" hidden="1">{#N/A,#N/A,FALSE,"Modeled Emissions";#N/A,#N/A,FALSE,"Modeling Results"}</definedName>
    <definedName name="wrn.Crosby._.Modeling._.Summary." localSheetId="7" hidden="1">{#N/A,#N/A,FALSE,"Modeled Emissions";#N/A,#N/A,FALSE,"Modeling Results"}</definedName>
    <definedName name="wrn.Crosby._.Modeling._.Summary." hidden="1">{#N/A,#N/A,FALSE,"Modeled Emissions";#N/A,#N/A,FALSE,"Modeling Results"}</definedName>
    <definedName name="wrn.Detailed._.and._.Summary._.Report." localSheetId="27" hidden="1">{"Detailed",#N/A,FALSE,"GAS-COMB";"Summary",#N/A,FALSE,"GAS-COMB"}</definedName>
    <definedName name="wrn.Detailed._.and._.Summary._.Report." localSheetId="28" hidden="1">{"Detailed",#N/A,FALSE,"GAS-COMB";"Summary",#N/A,FALSE,"GAS-COMB"}</definedName>
    <definedName name="wrn.Detailed._.and._.Summary._.Report." localSheetId="8" hidden="1">{"Detailed",#N/A,FALSE,"GAS-COMB";"Summary",#N/A,FALSE,"GAS-COMB"}</definedName>
    <definedName name="wrn.Detailed._.and._.Summary._.Report." localSheetId="5" hidden="1">{"Detailed",#N/A,FALSE,"GAS-COMB";"Summary",#N/A,FALSE,"GAS-COMB"}</definedName>
    <definedName name="wrn.Detailed._.and._.Summary._.Report." localSheetId="7" hidden="1">{"Detailed",#N/A,FALSE,"GAS-COMB";"Summary",#N/A,FALSE,"GAS-COMB"}</definedName>
    <definedName name="wrn.Detailed._.and._.Summary._.Report." hidden="1">{"Detailed",#N/A,FALSE,"GAS-COMB";"Summary",#N/A,FALSE,"GAS-COMB"}</definedName>
    <definedName name="wrn.Detailed._.Report." localSheetId="27" hidden="1">{"Detailed",#N/A,FALSE,"GAS-COMB"}</definedName>
    <definedName name="wrn.Detailed._.Report." localSheetId="28" hidden="1">{"Detailed",#N/A,FALSE,"GAS-COMB"}</definedName>
    <definedName name="wrn.Detailed._.Report." localSheetId="8" hidden="1">{"Detailed",#N/A,FALSE,"GAS-COMB"}</definedName>
    <definedName name="wrn.Detailed._.Report." localSheetId="5" hidden="1">{"Detailed",#N/A,FALSE,"GAS-COMB"}</definedName>
    <definedName name="wrn.Detailed._.Report." localSheetId="7" hidden="1">{"Detailed",#N/A,FALSE,"GAS-COMB"}</definedName>
    <definedName name="wrn.Detailed._.Report." hidden="1">{"Detailed",#N/A,FALSE,"GAS-COMB"}</definedName>
    <definedName name="wrn.EPNs." localSheetId="8" hidden="1">{#N/A,#N/A,TRUE,"EPN 500";#N/A,#N/A,TRUE,"EPN 505 (Trains I-III Stippers)";#N/A,#N/A,TRUE,"EPN 505 (Trains I-III Dryers)";#N/A,#N/A,TRUE,"EPN 505 (Tr I-III Water Wash)";#N/A,#N/A,TRUE,"EPN 505 (Train IV)";#N/A,#N/A,TRUE,"EPN 505 Summary";#N/A,#N/A,TRUE,"EPN 514";#N/A,#N/A,TRUE,"EPN 517";#N/A,#N/A,TRUE,"EPN 518";#N/A,#N/A,TRUE,"EPN 520";#N/A,#N/A,TRUE,"EPN 523";#N/A,#N/A,TRUE,"EPN 524 Summary";#N/A,#N/A,TRUE,"EPN 525 &amp; 526";#N/A,#N/A,TRUE,"EPN 534";#N/A,#N/A,TRUE,"EPN 536 Summary";#N/A,#N/A,TRUE,"EPN 538";#N/A,#N/A,TRUE,"EPN 605";#N/A,#N/A,TRUE,"EPN 606";#N/A,#N/A,TRUE,"EPN's 607, 608, 609, 610, 611";#N/A,#N/A,TRUE,"EPN 612";#N/A,#N/A,TRUE,"EPN 900"}</definedName>
    <definedName name="wrn.EPNs." hidden="1">{#N/A,#N/A,TRUE,"EPN 500";#N/A,#N/A,TRUE,"EPN 505 (Trains I-III Stippers)";#N/A,#N/A,TRUE,"EPN 505 (Trains I-III Dryers)";#N/A,#N/A,TRUE,"EPN 505 (Tr I-III Water Wash)";#N/A,#N/A,TRUE,"EPN 505 (Train IV)";#N/A,#N/A,TRUE,"EPN 505 Summary";#N/A,#N/A,TRUE,"EPN 514";#N/A,#N/A,TRUE,"EPN 517";#N/A,#N/A,TRUE,"EPN 518";#N/A,#N/A,TRUE,"EPN 520";#N/A,#N/A,TRUE,"EPN 523";#N/A,#N/A,TRUE,"EPN 524 Summary";#N/A,#N/A,TRUE,"EPN 525 &amp; 526";#N/A,#N/A,TRUE,"EPN 534";#N/A,#N/A,TRUE,"EPN 536 Summary";#N/A,#N/A,TRUE,"EPN 538";#N/A,#N/A,TRUE,"EPN 605";#N/A,#N/A,TRUE,"EPN 606";#N/A,#N/A,TRUE,"EPN's 607, 608, 609, 610, 611";#N/A,#N/A,TRUE,"EPN 612";#N/A,#N/A,TRUE,"EPN 900"}</definedName>
    <definedName name="wrn.Example._.Calculation._.Sheets." localSheetId="8" hidden="1">{#N/A,#N/A,TRUE,"Emission Summary";#N/A,#N/A,TRUE,"Engines";#N/A,#N/A,TRUE,"Tank (V-B Flash)";#N/A,#N/A,TRUE,"TANKS 3.0";#N/A,#N/A,TRUE,"Truck Loading";#N/A,#N/A,TRUE,"Fugitives";#N/A,#N/A,TRUE,"Heaters";#N/A,#N/A,TRUE,"Gas Analysis"}</definedName>
    <definedName name="wrn.Example._.Calculation._.Sheets." hidden="1">{#N/A,#N/A,TRUE,"Emission Summary";#N/A,#N/A,TRUE,"Engines";#N/A,#N/A,TRUE,"Tank (V-B Flash)";#N/A,#N/A,TRUE,"TANKS 3.0";#N/A,#N/A,TRUE,"Truck Loading";#N/A,#N/A,TRUE,"Fugitives";#N/A,#N/A,TRUE,"Heaters";#N/A,#N/A,TRUE,"Gas Analysis"}</definedName>
    <definedName name="wrn.Flare._.Permit._.Tables." localSheetId="8" hidden="1">{#N/A,#N/A,FALSE,"Annual Summary";#N/A,#N/A,FALSE,"Hourly Summary";#N/A,#N/A,FALSE,"Flare Combustion";#N/A,#N/A,FALSE,"Shipping";#N/A,#N/A,FALSE,"Process Turnaround";#N/A,#N/A,FALSE,"Lab Samples";#N/A,#N/A,FALSE,"Product Cycles 5-4";#N/A,#N/A,FALSE,"5-4.1";#N/A,#N/A,FALSE,"5-4.2";#N/A,#N/A,FALSE,"Physical Prop Data"}</definedName>
    <definedName name="wrn.Flare._.Permit._.Tables." localSheetId="7" hidden="1">{#N/A,#N/A,FALSE,"Annual Summary";#N/A,#N/A,FALSE,"Hourly Summary";#N/A,#N/A,FALSE,"Flare Combustion";#N/A,#N/A,FALSE,"Shipping";#N/A,#N/A,FALSE,"Process Turnaround";#N/A,#N/A,FALSE,"Lab Samples";#N/A,#N/A,FALSE,"Product Cycles 5-4";#N/A,#N/A,FALSE,"5-4.1";#N/A,#N/A,FALSE,"5-4.2";#N/A,#N/A,FALSE,"Physical Prop Data"}</definedName>
    <definedName name="wrn.Flare._.Permit._.Tables." hidden="1">{#N/A,#N/A,FALSE,"Annual Summary";#N/A,#N/A,FALSE,"Hourly Summary";#N/A,#N/A,FALSE,"Flare Combustion";#N/A,#N/A,FALSE,"Shipping";#N/A,#N/A,FALSE,"Process Turnaround";#N/A,#N/A,FALSE,"Lab Samples";#N/A,#N/A,FALSE,"Product Cycles 5-4";#N/A,#N/A,FALSE,"5-4.1";#N/A,#N/A,FALSE,"5-4.2";#N/A,#N/A,FALSE,"Physical Prop Data"}</definedName>
    <definedName name="wrn.G6input." localSheetId="8" hidden="1">{#N/A,#N/A,FALSE,"Emission Calcs";#N/A,#N/A,FALSE,"Equipment Summary";#N/A,#N/A,FALSE,"PRODUCTION SUMMARY "}</definedName>
    <definedName name="wrn.G6input." localSheetId="7" hidden="1">{#N/A,#N/A,FALSE,"Emission Calcs";#N/A,#N/A,FALSE,"Equipment Summary";#N/A,#N/A,FALSE,"PRODUCTION SUMMARY "}</definedName>
    <definedName name="wrn.G6input." hidden="1">{#N/A,#N/A,FALSE,"Emission Calcs";#N/A,#N/A,FALSE,"Equipment Summary";#N/A,#N/A,FALSE,"PRODUCTION SUMMARY "}</definedName>
    <definedName name="wrn.G6inputa." localSheetId="8" hidden="1">{#N/A,#N/A,FALSE,"Emission Calcs";#N/A,#N/A,FALSE,"Equipment Summary";#N/A,#N/A,FALSE,"PRODUCTION SUMMARY "}</definedName>
    <definedName name="wrn.G6inputa." localSheetId="7" hidden="1">{#N/A,#N/A,FALSE,"Emission Calcs";#N/A,#N/A,FALSE,"Equipment Summary";#N/A,#N/A,FALSE,"PRODUCTION SUMMARY "}</definedName>
    <definedName name="wrn.G6inputa." hidden="1">{#N/A,#N/A,FALSE,"Emission Calcs";#N/A,#N/A,FALSE,"Equipment Summary";#N/A,#N/A,FALSE,"PRODUCTION SUMMARY "}</definedName>
    <definedName name="wrn.Input._.Section." localSheetId="8" hidden="1">{"Input Section",#N/A,FALSE,"TTU Summary"}</definedName>
    <definedName name="wrn.Input._.Section." hidden="1">{"Input Section",#N/A,FALSE,"TTU Summary"}</definedName>
    <definedName name="wrn.Instructions." localSheetId="8" hidden="1">{"Instructions",#N/A,FALSE,"TTU Summary"}</definedName>
    <definedName name="wrn.Instructions." hidden="1">{"Instructions",#N/A,FALSE,"TTU Summary"}</definedName>
    <definedName name="wrn.Output._.Reports." localSheetId="8" hidden="1">{"Total TTU Output",#N/A,FALSE,"TTU Summary";"B_68 OPN Output",#N/A,FALSE,"TTU Summary";"B_19 OPN Output",#N/A,FALSE,"TTU Summary"}</definedName>
    <definedName name="wrn.Output._.Reports." hidden="1">{"Total TTU Output",#N/A,FALSE,"TTU Summary";"B_68 OPN Output",#N/A,FALSE,"TTU Summary";"B_19 OPN Output",#N/A,FALSE,"TTU Summary"}</definedName>
    <definedName name="wrn.Print._.All." localSheetId="8" hidden="1">{#N/A,#N/A,FALSE,"Table1";#N/A,#N/A,FALSE,"Table2";#N/A,#N/A,FALSE,"Table3";#N/A,#N/A,FALSE,"T4";#N/A,#N/A,FALSE,"T5";#N/A,#N/A,FALSE,"T6";#N/A,#N/A,FALSE,"T7";#N/A,#N/A,FALSE,"T8"}</definedName>
    <definedName name="wrn.Print._.All." localSheetId="7" hidden="1">{#N/A,#N/A,FALSE,"Table1";#N/A,#N/A,FALSE,"Table2";#N/A,#N/A,FALSE,"Table3";#N/A,#N/A,FALSE,"T4";#N/A,#N/A,FALSE,"T5";#N/A,#N/A,FALSE,"T6";#N/A,#N/A,FALSE,"T7";#N/A,#N/A,FALSE,"T8"}</definedName>
    <definedName name="wrn.Print._.All." hidden="1">{#N/A,#N/A,FALSE,"Table1";#N/A,#N/A,FALSE,"Table2";#N/A,#N/A,FALSE,"Table3";#N/A,#N/A,FALSE,"T4";#N/A,#N/A,FALSE,"T5";#N/A,#N/A,FALSE,"T6";#N/A,#N/A,FALSE,"T7";#N/A,#N/A,FALSE,"T8"}</definedName>
    <definedName name="wrn.Print._.B19._.Detail." localSheetId="8" hidden="1">{"F210 detailed output",#N/A,FALSE,"F-210 TTU";"F11 detailed output",#N/A,FALSE,"F-11 TTU"}</definedName>
    <definedName name="wrn.Print._.B19._.Detail." hidden="1">{"F210 detailed output",#N/A,FALSE,"F-210 TTU";"F11 detailed output",#N/A,FALSE,"F-11 TTU"}</definedName>
    <definedName name="wrn.Print._.B68._.Details." localSheetId="8" hidden="1">{"f-603 detailed output",#N/A,FALSE,"FTB-603 TTU";"f-2 detailed output",#N/A,FALSE,"F-2 TTU"}</definedName>
    <definedName name="wrn.Print._.B68._.Details." hidden="1">{"f-603 detailed output",#N/A,FALSE,"FTB-603 TTU";"f-2 detailed output",#N/A,FALSE,"F-2 TTU"}</definedName>
    <definedName name="wrn.report." localSheetId="8" hidden="1">{#N/A,#N/A,FALSE,"F1-Currrent";#N/A,#N/A,FALSE,"F2-Current";#N/A,#N/A,FALSE,"F2-Proposed";#N/A,#N/A,FALSE,"F3-Current";#N/A,#N/A,FALSE,"F4-Current";#N/A,#N/A,FALSE,"F4-Proposed";#N/A,#N/A,FALSE,"Controls"}</definedName>
    <definedName name="wrn.report." hidden="1">{#N/A,#N/A,FALSE,"F1-Currrent";#N/A,#N/A,FALSE,"F2-Current";#N/A,#N/A,FALSE,"F2-Proposed";#N/A,#N/A,FALSE,"F3-Current";#N/A,#N/A,FALSE,"F4-Current";#N/A,#N/A,FALSE,"F4-Proposed";#N/A,#N/A,FALSE,"Controls"}</definedName>
    <definedName name="wrn.Reporting._.Responsibilites." localSheetId="8" hidden="1">{"Reporting Responsibilities",#N/A,FALSE,"TTU Summary"}</definedName>
    <definedName name="wrn.Reporting._.Responsibilites." hidden="1">{"Reporting Responsibilities",#N/A,FALSE,"TTU Summary"}</definedName>
    <definedName name="wrn.SUMMARY." localSheetId="8" hidden="1">{#N/A,#N/A,FALSE,"Summary"}</definedName>
    <definedName name="wrn.SUMMARY." hidden="1">{#N/A,#N/A,FALSE,"Summary"}</definedName>
    <definedName name="wrn.Summary._.Report." localSheetId="27" hidden="1">{"Summary",#N/A,FALSE,"GAS-COMB"}</definedName>
    <definedName name="wrn.Summary._.Report." localSheetId="28" hidden="1">{"Summary",#N/A,FALSE,"GAS-COMB"}</definedName>
    <definedName name="wrn.Summary._.Report." localSheetId="8" hidden="1">{"Summary",#N/A,FALSE,"GAS-COMB"}</definedName>
    <definedName name="wrn.Summary._.Report." localSheetId="5" hidden="1">{"Summary",#N/A,FALSE,"GAS-COMB"}</definedName>
    <definedName name="wrn.Summary._.Report." localSheetId="7" hidden="1">{"Summary",#N/A,FALSE,"GAS-COMB"}</definedName>
    <definedName name="wrn.Summary._.Report." hidden="1">{"Summary",#N/A,FALSE,"GAS-COMB"}</definedName>
    <definedName name="wrn.TTU._.Detail." localSheetId="8" hidden="1">{"B68 TTU Detail",#N/A,FALSE,"TTU Summary";"B19 TTU Detail",#N/A,FALSE,"TTU Summary"}</definedName>
    <definedName name="wrn.TTU._.Detail." hidden="1">{"B68 TTU Detail",#N/A,FALSE,"TTU Summary";"B19 TTU Detail",#N/A,FALSE,"TTU Summary"}</definedName>
    <definedName name="wvu.Summary." localSheetId="8" hidden="1">{TRUE,TRUE,-1.25,-15.5,484.5,297,FALSE,FALSE,TRUE,TRUE,0,1,#N/A,1,#N/A,8.19318181818182,15,1,FALSE,FALSE,3,TRUE,1,FALSE,100,"Swvu.Summary.","ACwvu.Summary.",#N/A,FALSE,FALSE,0.5,0.5,0.5,0.5,2,"","&amp;L\AA4",TRUE,FALSE,FALSE,FALSE,1,71,#N/A,#N/A,"=R153C1:R187C21",FALSE,#N/A,#N/A,FALSE,FALSE,TRUE,1,65532,65532,FALSE,FALSE,TRUE,TRUE,TRUE}</definedName>
    <definedName name="wvu.Summary." hidden="1">{TRUE,TRUE,-1.25,-15.5,484.5,297,FALSE,FALSE,TRUE,TRUE,0,1,#N/A,1,#N/A,8.19318181818182,15,1,FALSE,FALSE,3,TRUE,1,FALSE,100,"Swvu.Summary.","ACwvu.Summary.",#N/A,FALSE,FALSE,0.5,0.5,0.5,0.5,2,"","&amp;L\AA4",TRUE,FALSE,FALSE,FALSE,1,71,#N/A,#N/A,"=R153C1:R187C21",FALSE,#N/A,#N/A,FALSE,FALSE,TRUE,1,65532,65532,FALSE,FALSE,TRUE,TRUE,TRUE}</definedName>
    <definedName name="Y_Values" localSheetId="7">OFFSET([0]!X_Values,0,2)</definedName>
    <definedName name="Y_Values">OFFSET([0]!X_Values,0,2)</definedName>
    <definedName name="Y1_Values" localSheetId="7">OFFSET([0]!X_Values,0,3)</definedName>
    <definedName name="Y1_Values">OFFSET([0]!X_Values,0,3)</definedName>
    <definedName name="Y2_Values" localSheetId="7">OFFSET([0]!X_Values,0,4)</definedName>
    <definedName name="Y2_Values">OFFSET([0]!X_Values,0,4)</definedName>
    <definedName name="Ye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87" l="1"/>
  <c r="I27" i="92"/>
  <c r="N15" i="92"/>
  <c r="P15" i="92" s="1"/>
  <c r="N14" i="92"/>
  <c r="P14" i="92" s="1"/>
  <c r="K17" i="92" s="1"/>
  <c r="J19" i="113"/>
  <c r="J18" i="113"/>
  <c r="J16" i="113"/>
  <c r="J15" i="113"/>
  <c r="B10" i="122"/>
  <c r="E166" i="92"/>
  <c r="C57" i="87"/>
  <c r="B8" i="128" l="1"/>
  <c r="B8" i="92"/>
  <c r="C9" i="113"/>
  <c r="B8" i="87"/>
  <c r="M166" i="92" l="1"/>
  <c r="E18" i="128" l="1"/>
  <c r="D18" i="128"/>
  <c r="C18" i="128"/>
  <c r="E17" i="128"/>
  <c r="D17" i="128"/>
  <c r="C17" i="128"/>
  <c r="E16" i="128"/>
  <c r="D16" i="128"/>
  <c r="C16" i="128"/>
  <c r="H88" i="128" l="1"/>
  <c r="G88" i="128" s="1"/>
  <c r="F88" i="128"/>
  <c r="H49" i="128"/>
  <c r="G49" i="128" s="1"/>
  <c r="F49" i="128"/>
  <c r="D125" i="135"/>
  <c r="D68" i="135" s="1"/>
  <c r="H53" i="128" s="1"/>
  <c r="G53" i="128" s="1"/>
  <c r="D125" i="136"/>
  <c r="C125" i="136" s="1"/>
  <c r="C68" i="136" s="1"/>
  <c r="F92" i="128" s="1"/>
  <c r="D122" i="135"/>
  <c r="C122" i="135" s="1"/>
  <c r="C65" i="135" s="1"/>
  <c r="F52" i="128" s="1"/>
  <c r="D122" i="136"/>
  <c r="C122" i="136" s="1"/>
  <c r="C65" i="136" s="1"/>
  <c r="F91" i="128" s="1"/>
  <c r="D114" i="135"/>
  <c r="C114" i="135" s="1"/>
  <c r="C55" i="135" s="1"/>
  <c r="F43" i="128" s="1"/>
  <c r="D114" i="136"/>
  <c r="C114" i="136" s="1"/>
  <c r="C55" i="136" s="1"/>
  <c r="F82" i="128" s="1"/>
  <c r="D82" i="135"/>
  <c r="D81" i="135"/>
  <c r="D80" i="135"/>
  <c r="D82" i="136"/>
  <c r="D81" i="136"/>
  <c r="D80" i="136"/>
  <c r="E134" i="135"/>
  <c r="D134" i="135" s="1"/>
  <c r="E133" i="135"/>
  <c r="D133" i="135" s="1"/>
  <c r="E132" i="135"/>
  <c r="D132" i="135" s="1"/>
  <c r="E131" i="135"/>
  <c r="D131" i="135" s="1"/>
  <c r="E130" i="135"/>
  <c r="D130" i="135" s="1"/>
  <c r="E129" i="135"/>
  <c r="D129" i="135" s="1"/>
  <c r="E128" i="135"/>
  <c r="D128" i="135" s="1"/>
  <c r="E127" i="135"/>
  <c r="D127" i="135" s="1"/>
  <c r="E126" i="135"/>
  <c r="D126" i="135" s="1"/>
  <c r="E134" i="136"/>
  <c r="D134" i="136" s="1"/>
  <c r="E133" i="136"/>
  <c r="D133" i="136" s="1"/>
  <c r="E132" i="136"/>
  <c r="D132" i="136" s="1"/>
  <c r="E131" i="136"/>
  <c r="D131" i="136" s="1"/>
  <c r="E130" i="136"/>
  <c r="D130" i="136" s="1"/>
  <c r="E129" i="136"/>
  <c r="D129" i="136" s="1"/>
  <c r="E128" i="136"/>
  <c r="D128" i="136" s="1"/>
  <c r="E127" i="136"/>
  <c r="D127" i="136" s="1"/>
  <c r="E126" i="136"/>
  <c r="D126" i="136" s="1"/>
  <c r="E119" i="135"/>
  <c r="D119" i="135" s="1"/>
  <c r="E118" i="135"/>
  <c r="D118" i="135" s="1"/>
  <c r="E117" i="135"/>
  <c r="D117" i="135" s="1"/>
  <c r="E116" i="135"/>
  <c r="D116" i="135" s="1"/>
  <c r="E115" i="135"/>
  <c r="D115" i="135" s="1"/>
  <c r="E119" i="136"/>
  <c r="D119" i="136" s="1"/>
  <c r="E118" i="136"/>
  <c r="D118" i="136" s="1"/>
  <c r="E117" i="136"/>
  <c r="D117" i="136" s="1"/>
  <c r="E116" i="136"/>
  <c r="D116" i="136" s="1"/>
  <c r="E115" i="136"/>
  <c r="D115" i="136" s="1"/>
  <c r="E113" i="135"/>
  <c r="D113" i="135" s="1"/>
  <c r="E112" i="135"/>
  <c r="D112" i="135" s="1"/>
  <c r="C112" i="135" s="1"/>
  <c r="C53" i="135" s="1"/>
  <c r="F41" i="128" s="1"/>
  <c r="E111" i="135"/>
  <c r="D111" i="135" s="1"/>
  <c r="E110" i="135"/>
  <c r="D110" i="135" s="1"/>
  <c r="E109" i="135"/>
  <c r="D109" i="135" s="1"/>
  <c r="E108" i="135"/>
  <c r="D108" i="135" s="1"/>
  <c r="E107" i="135"/>
  <c r="D107" i="135" s="1"/>
  <c r="E106" i="135"/>
  <c r="D106" i="135" s="1"/>
  <c r="E105" i="135"/>
  <c r="D105" i="135" s="1"/>
  <c r="E104" i="135"/>
  <c r="D104" i="135" s="1"/>
  <c r="E103" i="135"/>
  <c r="D103" i="135" s="1"/>
  <c r="E102" i="135"/>
  <c r="D102" i="135" s="1"/>
  <c r="E101" i="135"/>
  <c r="D101" i="135" s="1"/>
  <c r="E100" i="135"/>
  <c r="D100" i="135" s="1"/>
  <c r="E99" i="135"/>
  <c r="D99" i="135" s="1"/>
  <c r="E98" i="135"/>
  <c r="D98" i="135" s="1"/>
  <c r="E97" i="135"/>
  <c r="D97" i="135" s="1"/>
  <c r="E96" i="135"/>
  <c r="D96" i="135" s="1"/>
  <c r="E113" i="136"/>
  <c r="D113" i="136" s="1"/>
  <c r="E112" i="136"/>
  <c r="D112" i="136" s="1"/>
  <c r="E111" i="136"/>
  <c r="D111" i="136" s="1"/>
  <c r="E110" i="136"/>
  <c r="D110" i="136" s="1"/>
  <c r="E109" i="136"/>
  <c r="D109" i="136" s="1"/>
  <c r="C109" i="136" s="1"/>
  <c r="C50" i="136" s="1"/>
  <c r="F77" i="128" s="1"/>
  <c r="E108" i="136"/>
  <c r="D108" i="136" s="1"/>
  <c r="E107" i="136"/>
  <c r="D107" i="136" s="1"/>
  <c r="E106" i="136"/>
  <c r="D106" i="136" s="1"/>
  <c r="E105" i="136"/>
  <c r="D105" i="136" s="1"/>
  <c r="E104" i="136"/>
  <c r="D104" i="136" s="1"/>
  <c r="E103" i="136"/>
  <c r="D103" i="136" s="1"/>
  <c r="E102" i="136"/>
  <c r="D102" i="136" s="1"/>
  <c r="E101" i="136"/>
  <c r="D101" i="136" s="1"/>
  <c r="E100" i="136"/>
  <c r="D100" i="136" s="1"/>
  <c r="E99" i="136"/>
  <c r="D99" i="136" s="1"/>
  <c r="E98" i="136"/>
  <c r="D98" i="136" s="1"/>
  <c r="E97" i="136"/>
  <c r="D97" i="136" s="1"/>
  <c r="E96" i="136"/>
  <c r="D96" i="136" s="1"/>
  <c r="C165" i="136"/>
  <c r="C164" i="136"/>
  <c r="E82" i="136"/>
  <c r="E81" i="136"/>
  <c r="E80" i="136"/>
  <c r="E68" i="136"/>
  <c r="E65" i="136"/>
  <c r="D92" i="136"/>
  <c r="E64" i="136"/>
  <c r="E63" i="136"/>
  <c r="G33" i="136"/>
  <c r="F33" i="136"/>
  <c r="E33" i="136"/>
  <c r="C32" i="136"/>
  <c r="D27" i="136"/>
  <c r="C27" i="136" s="1"/>
  <c r="C26" i="136"/>
  <c r="C25" i="136"/>
  <c r="D159" i="136"/>
  <c r="C159" i="136" s="1"/>
  <c r="C64" i="136" s="1"/>
  <c r="F90" i="128" s="1"/>
  <c r="C31" i="136"/>
  <c r="C164" i="135"/>
  <c r="D154" i="135"/>
  <c r="C154" i="135" s="1"/>
  <c r="E81" i="135"/>
  <c r="E68" i="135"/>
  <c r="E55" i="135"/>
  <c r="E28" i="135"/>
  <c r="E82" i="135"/>
  <c r="E80" i="135"/>
  <c r="E65" i="135"/>
  <c r="E64" i="135"/>
  <c r="E63" i="135"/>
  <c r="G33" i="135"/>
  <c r="F33" i="135"/>
  <c r="E33" i="135"/>
  <c r="C32" i="135"/>
  <c r="C31" i="135"/>
  <c r="C29" i="135"/>
  <c r="D27" i="135"/>
  <c r="C27" i="135" s="1"/>
  <c r="C30" i="135"/>
  <c r="D55" i="135" l="1"/>
  <c r="H43" i="128" s="1"/>
  <c r="G43" i="128" s="1"/>
  <c r="C125" i="135"/>
  <c r="C68" i="135" s="1"/>
  <c r="F53" i="128" s="1"/>
  <c r="D55" i="136"/>
  <c r="H82" i="128" s="1"/>
  <c r="G82" i="128" s="1"/>
  <c r="D68" i="136"/>
  <c r="H92" i="128" s="1"/>
  <c r="G92" i="128" s="1"/>
  <c r="D64" i="136"/>
  <c r="H90" i="128" s="1"/>
  <c r="G90" i="128" s="1"/>
  <c r="D65" i="136"/>
  <c r="H91" i="128" s="1"/>
  <c r="G91" i="128" s="1"/>
  <c r="D65" i="135"/>
  <c r="H52" i="128" s="1"/>
  <c r="G52" i="128" s="1"/>
  <c r="D50" i="136"/>
  <c r="H77" i="128" s="1"/>
  <c r="G77" i="128" s="1"/>
  <c r="D48" i="136"/>
  <c r="H75" i="128" s="1"/>
  <c r="G75" i="128" s="1"/>
  <c r="C107" i="136"/>
  <c r="C48" i="136" s="1"/>
  <c r="F75" i="128" s="1"/>
  <c r="C110" i="136"/>
  <c r="C51" i="136" s="1"/>
  <c r="F78" i="128" s="1"/>
  <c r="D51" i="136"/>
  <c r="H78" i="128" s="1"/>
  <c r="G78" i="128" s="1"/>
  <c r="C133" i="136"/>
  <c r="C76" i="136" s="1"/>
  <c r="F100" i="128" s="1"/>
  <c r="D76" i="136"/>
  <c r="H100" i="128" s="1"/>
  <c r="G100" i="128" s="1"/>
  <c r="C102" i="136"/>
  <c r="C43" i="136" s="1"/>
  <c r="F70" i="128" s="1"/>
  <c r="D43" i="136"/>
  <c r="H70" i="128" s="1"/>
  <c r="G70" i="128" s="1"/>
  <c r="D37" i="135"/>
  <c r="H25" i="128" s="1"/>
  <c r="G25" i="128" s="1"/>
  <c r="C96" i="135"/>
  <c r="C37" i="135" s="1"/>
  <c r="F25" i="128" s="1"/>
  <c r="D49" i="135"/>
  <c r="H37" i="128" s="1"/>
  <c r="G37" i="128" s="1"/>
  <c r="C108" i="135"/>
  <c r="C49" i="135" s="1"/>
  <c r="F37" i="128" s="1"/>
  <c r="D57" i="135"/>
  <c r="H45" i="128" s="1"/>
  <c r="G45" i="128" s="1"/>
  <c r="C116" i="135"/>
  <c r="C57" i="135" s="1"/>
  <c r="F45" i="128" s="1"/>
  <c r="C127" i="135"/>
  <c r="C70" i="135" s="1"/>
  <c r="F55" i="128" s="1"/>
  <c r="D70" i="135"/>
  <c r="H55" i="128" s="1"/>
  <c r="G55" i="128" s="1"/>
  <c r="C132" i="136"/>
  <c r="C75" i="136" s="1"/>
  <c r="F99" i="128" s="1"/>
  <c r="D75" i="136"/>
  <c r="H99" i="128" s="1"/>
  <c r="G99" i="128" s="1"/>
  <c r="D14" i="128" s="1"/>
  <c r="C105" i="135"/>
  <c r="C46" i="135" s="1"/>
  <c r="F34" i="128" s="1"/>
  <c r="D46" i="135"/>
  <c r="H34" i="128" s="1"/>
  <c r="G34" i="128" s="1"/>
  <c r="C112" i="136"/>
  <c r="C53" i="136" s="1"/>
  <c r="F80" i="128" s="1"/>
  <c r="D53" i="136"/>
  <c r="H80" i="128" s="1"/>
  <c r="G80" i="128" s="1"/>
  <c r="D39" i="136"/>
  <c r="H66" i="128" s="1"/>
  <c r="G66" i="128" s="1"/>
  <c r="C98" i="136"/>
  <c r="C39" i="136" s="1"/>
  <c r="F66" i="128" s="1"/>
  <c r="C104" i="135"/>
  <c r="C45" i="135" s="1"/>
  <c r="F33" i="128" s="1"/>
  <c r="D45" i="135"/>
  <c r="H33" i="128" s="1"/>
  <c r="G33" i="128" s="1"/>
  <c r="C99" i="136"/>
  <c r="C40" i="136" s="1"/>
  <c r="F67" i="128" s="1"/>
  <c r="D40" i="136"/>
  <c r="H67" i="128" s="1"/>
  <c r="G67" i="128" s="1"/>
  <c r="D59" i="136"/>
  <c r="H86" i="128" s="1"/>
  <c r="G86" i="128" s="1"/>
  <c r="C118" i="136"/>
  <c r="C59" i="136" s="1"/>
  <c r="F86" i="128" s="1"/>
  <c r="C100" i="136"/>
  <c r="C41" i="136" s="1"/>
  <c r="F68" i="128" s="1"/>
  <c r="D41" i="136"/>
  <c r="H68" i="128" s="1"/>
  <c r="G68" i="128" s="1"/>
  <c r="C101" i="136"/>
  <c r="C42" i="136" s="1"/>
  <c r="F69" i="128" s="1"/>
  <c r="D42" i="136"/>
  <c r="H69" i="128" s="1"/>
  <c r="G69" i="128" s="1"/>
  <c r="D48" i="135"/>
  <c r="H36" i="128" s="1"/>
  <c r="G36" i="128" s="1"/>
  <c r="C107" i="135"/>
  <c r="C48" i="135" s="1"/>
  <c r="F36" i="128" s="1"/>
  <c r="C115" i="135"/>
  <c r="C56" i="135" s="1"/>
  <c r="F44" i="128" s="1"/>
  <c r="D56" i="135"/>
  <c r="H44" i="128" s="1"/>
  <c r="G44" i="128" s="1"/>
  <c r="C103" i="136"/>
  <c r="D38" i="135"/>
  <c r="H26" i="128" s="1"/>
  <c r="G26" i="128" s="1"/>
  <c r="C97" i="135"/>
  <c r="C38" i="135" s="1"/>
  <c r="F26" i="128" s="1"/>
  <c r="C109" i="135"/>
  <c r="C50" i="135" s="1"/>
  <c r="F38" i="128" s="1"/>
  <c r="D50" i="135"/>
  <c r="H38" i="128" s="1"/>
  <c r="G38" i="128" s="1"/>
  <c r="C117" i="135"/>
  <c r="C58" i="135" s="1"/>
  <c r="F46" i="128" s="1"/>
  <c r="D58" i="135"/>
  <c r="H46" i="128" s="1"/>
  <c r="G46" i="128" s="1"/>
  <c r="C128" i="135"/>
  <c r="C71" i="135" s="1"/>
  <c r="F56" i="128" s="1"/>
  <c r="D71" i="135"/>
  <c r="H56" i="128" s="1"/>
  <c r="G56" i="128" s="1"/>
  <c r="D45" i="136"/>
  <c r="H72" i="128" s="1"/>
  <c r="G72" i="128" s="1"/>
  <c r="C104" i="136"/>
  <c r="C45" i="136" s="1"/>
  <c r="F72" i="128" s="1"/>
  <c r="D39" i="135"/>
  <c r="H27" i="128" s="1"/>
  <c r="G27" i="128" s="1"/>
  <c r="C98" i="135"/>
  <c r="C39" i="135" s="1"/>
  <c r="F27" i="128" s="1"/>
  <c r="D51" i="135"/>
  <c r="H39" i="128" s="1"/>
  <c r="G39" i="128" s="1"/>
  <c r="C110" i="135"/>
  <c r="C51" i="135" s="1"/>
  <c r="F39" i="128" s="1"/>
  <c r="C118" i="135"/>
  <c r="C59" i="135" s="1"/>
  <c r="F47" i="128" s="1"/>
  <c r="D59" i="135"/>
  <c r="H47" i="128" s="1"/>
  <c r="G47" i="128" s="1"/>
  <c r="C126" i="136"/>
  <c r="C69" i="136" s="1"/>
  <c r="F93" i="128" s="1"/>
  <c r="D69" i="136"/>
  <c r="H93" i="128" s="1"/>
  <c r="G93" i="128" s="1"/>
  <c r="C129" i="135"/>
  <c r="C72" i="135" s="1"/>
  <c r="F57" i="128" s="1"/>
  <c r="D72" i="135"/>
  <c r="H57" i="128" s="1"/>
  <c r="G57" i="128" s="1"/>
  <c r="C101" i="135"/>
  <c r="C42" i="135" s="1"/>
  <c r="F30" i="128" s="1"/>
  <c r="D42" i="135"/>
  <c r="H30" i="128" s="1"/>
  <c r="G30" i="128" s="1"/>
  <c r="D47" i="135"/>
  <c r="H35" i="128" s="1"/>
  <c r="G35" i="128" s="1"/>
  <c r="C106" i="135"/>
  <c r="C47" i="135" s="1"/>
  <c r="F35" i="128" s="1"/>
  <c r="D60" i="136"/>
  <c r="H87" i="128" s="1"/>
  <c r="G87" i="128" s="1"/>
  <c r="C119" i="136"/>
  <c r="C60" i="136" s="1"/>
  <c r="F87" i="128" s="1"/>
  <c r="C113" i="136"/>
  <c r="C54" i="136" s="1"/>
  <c r="F81" i="128" s="1"/>
  <c r="D54" i="136"/>
  <c r="H81" i="128" s="1"/>
  <c r="G81" i="128" s="1"/>
  <c r="C111" i="135"/>
  <c r="C52" i="135" s="1"/>
  <c r="F40" i="128" s="1"/>
  <c r="D52" i="135"/>
  <c r="H40" i="128" s="1"/>
  <c r="G40" i="128" s="1"/>
  <c r="C119" i="135"/>
  <c r="C60" i="135" s="1"/>
  <c r="F48" i="128" s="1"/>
  <c r="D60" i="135"/>
  <c r="H48" i="128" s="1"/>
  <c r="G48" i="128" s="1"/>
  <c r="C127" i="136"/>
  <c r="C70" i="136" s="1"/>
  <c r="F94" i="128" s="1"/>
  <c r="D70" i="136"/>
  <c r="H94" i="128" s="1"/>
  <c r="G94" i="128" s="1"/>
  <c r="C130" i="135"/>
  <c r="C73" i="135" s="1"/>
  <c r="F58" i="128" s="1"/>
  <c r="D73" i="135"/>
  <c r="H58" i="128" s="1"/>
  <c r="G58" i="128" s="1"/>
  <c r="C113" i="135"/>
  <c r="C54" i="135" s="1"/>
  <c r="F42" i="128" s="1"/>
  <c r="D54" i="135"/>
  <c r="H42" i="128" s="1"/>
  <c r="G42" i="128" s="1"/>
  <c r="D58" i="136"/>
  <c r="H85" i="128" s="1"/>
  <c r="G85" i="128" s="1"/>
  <c r="C117" i="136"/>
  <c r="C58" i="136" s="1"/>
  <c r="F85" i="128" s="1"/>
  <c r="D77" i="136"/>
  <c r="H101" i="128" s="1"/>
  <c r="G101" i="128" s="1"/>
  <c r="C134" i="136"/>
  <c r="C77" i="136" s="1"/>
  <c r="F101" i="128" s="1"/>
  <c r="D69" i="135"/>
  <c r="H54" i="128" s="1"/>
  <c r="G54" i="128" s="1"/>
  <c r="C126" i="135"/>
  <c r="C69" i="135" s="1"/>
  <c r="F54" i="128" s="1"/>
  <c r="D46" i="136"/>
  <c r="H73" i="128" s="1"/>
  <c r="G73" i="128" s="1"/>
  <c r="C105" i="136"/>
  <c r="C46" i="136" s="1"/>
  <c r="F73" i="128" s="1"/>
  <c r="D40" i="135"/>
  <c r="H28" i="128" s="1"/>
  <c r="G28" i="128" s="1"/>
  <c r="C99" i="135"/>
  <c r="C40" i="135" s="1"/>
  <c r="F28" i="128" s="1"/>
  <c r="C106" i="136"/>
  <c r="C47" i="136" s="1"/>
  <c r="F74" i="128" s="1"/>
  <c r="D47" i="136"/>
  <c r="H74" i="128" s="1"/>
  <c r="G74" i="128" s="1"/>
  <c r="D41" i="135"/>
  <c r="H29" i="128" s="1"/>
  <c r="G29" i="128" s="1"/>
  <c r="C100" i="135"/>
  <c r="C41" i="135" s="1"/>
  <c r="F29" i="128" s="1"/>
  <c r="C128" i="136"/>
  <c r="C71" i="136" s="1"/>
  <c r="F95" i="128" s="1"/>
  <c r="D71" i="136"/>
  <c r="H95" i="128" s="1"/>
  <c r="G95" i="128" s="1"/>
  <c r="D74" i="135"/>
  <c r="H59" i="128" s="1"/>
  <c r="G59" i="128" s="1"/>
  <c r="C131" i="135"/>
  <c r="C74" i="135" s="1"/>
  <c r="F59" i="128" s="1"/>
  <c r="D72" i="136"/>
  <c r="H96" i="128" s="1"/>
  <c r="G96" i="128" s="1"/>
  <c r="C129" i="136"/>
  <c r="C72" i="136" s="1"/>
  <c r="F96" i="128" s="1"/>
  <c r="C132" i="135"/>
  <c r="C75" i="135" s="1"/>
  <c r="F60" i="128" s="1"/>
  <c r="D75" i="135"/>
  <c r="H60" i="128" s="1"/>
  <c r="G60" i="128" s="1"/>
  <c r="C14" i="128" s="1"/>
  <c r="D37" i="136"/>
  <c r="H64" i="128" s="1"/>
  <c r="G64" i="128" s="1"/>
  <c r="C96" i="136"/>
  <c r="C37" i="136" s="1"/>
  <c r="F64" i="128" s="1"/>
  <c r="D49" i="136"/>
  <c r="H76" i="128" s="1"/>
  <c r="G76" i="128" s="1"/>
  <c r="C108" i="136"/>
  <c r="C49" i="136" s="1"/>
  <c r="F76" i="128" s="1"/>
  <c r="C102" i="135"/>
  <c r="C43" i="135" s="1"/>
  <c r="F31" i="128" s="1"/>
  <c r="D43" i="135"/>
  <c r="H31" i="128" s="1"/>
  <c r="G31" i="128" s="1"/>
  <c r="C115" i="136"/>
  <c r="C56" i="136" s="1"/>
  <c r="F83" i="128" s="1"/>
  <c r="D56" i="136"/>
  <c r="H83" i="128" s="1"/>
  <c r="G83" i="128" s="1"/>
  <c r="C130" i="136"/>
  <c r="C73" i="136" s="1"/>
  <c r="F97" i="128" s="1"/>
  <c r="D73" i="136"/>
  <c r="H97" i="128" s="1"/>
  <c r="G97" i="128" s="1"/>
  <c r="C133" i="135"/>
  <c r="C76" i="135" s="1"/>
  <c r="F61" i="128" s="1"/>
  <c r="D76" i="135"/>
  <c r="H61" i="128" s="1"/>
  <c r="G61" i="128" s="1"/>
  <c r="C97" i="136"/>
  <c r="C38" i="136" s="1"/>
  <c r="F65" i="128" s="1"/>
  <c r="D38" i="136"/>
  <c r="H65" i="128" s="1"/>
  <c r="G65" i="128" s="1"/>
  <c r="C103" i="135"/>
  <c r="C44" i="135" s="1"/>
  <c r="F32" i="128" s="1"/>
  <c r="D44" i="135"/>
  <c r="H32" i="128" s="1"/>
  <c r="G32" i="128" s="1"/>
  <c r="D57" i="136"/>
  <c r="H84" i="128" s="1"/>
  <c r="G84" i="128" s="1"/>
  <c r="C116" i="136"/>
  <c r="C57" i="136" s="1"/>
  <c r="F84" i="128" s="1"/>
  <c r="C131" i="136"/>
  <c r="C74" i="136" s="1"/>
  <c r="F98" i="128" s="1"/>
  <c r="D74" i="136"/>
  <c r="H98" i="128" s="1"/>
  <c r="G98" i="128" s="1"/>
  <c r="C134" i="135"/>
  <c r="C77" i="135" s="1"/>
  <c r="F62" i="128" s="1"/>
  <c r="D77" i="135"/>
  <c r="H62" i="128" s="1"/>
  <c r="G62" i="128" s="1"/>
  <c r="C111" i="136"/>
  <c r="C52" i="136" s="1"/>
  <c r="F79" i="128" s="1"/>
  <c r="D52" i="136"/>
  <c r="H79" i="128" s="1"/>
  <c r="G79" i="128" s="1"/>
  <c r="D53" i="135"/>
  <c r="H41" i="128" s="1"/>
  <c r="G41" i="128" s="1"/>
  <c r="D150" i="135"/>
  <c r="C150" i="135" s="1"/>
  <c r="D160" i="135"/>
  <c r="C160" i="135" s="1"/>
  <c r="D159" i="135"/>
  <c r="C165" i="135"/>
  <c r="D158" i="135"/>
  <c r="D157" i="135"/>
  <c r="C166" i="136"/>
  <c r="C163" i="136"/>
  <c r="C83" i="136"/>
  <c r="C92" i="136"/>
  <c r="D160" i="136"/>
  <c r="C160" i="136" s="1"/>
  <c r="E28" i="136"/>
  <c r="E55" i="136"/>
  <c r="D150" i="136"/>
  <c r="C150" i="136" s="1"/>
  <c r="C25" i="135"/>
  <c r="C29" i="136"/>
  <c r="C26" i="135"/>
  <c r="C30" i="136"/>
  <c r="D154" i="136"/>
  <c r="D44" i="136" s="1"/>
  <c r="H71" i="128" s="1"/>
  <c r="G71" i="128" s="1"/>
  <c r="C138" i="136"/>
  <c r="C81" i="136" s="1"/>
  <c r="D157" i="136"/>
  <c r="C139" i="136"/>
  <c r="C82" i="136" s="1"/>
  <c r="D158" i="136"/>
  <c r="C12" i="128" l="1"/>
  <c r="D15" i="128"/>
  <c r="D12" i="128"/>
  <c r="C15" i="128"/>
  <c r="C158" i="136"/>
  <c r="C63" i="136" s="1"/>
  <c r="F89" i="128" s="1"/>
  <c r="D63" i="136"/>
  <c r="H89" i="128" s="1"/>
  <c r="G89" i="128" s="1"/>
  <c r="D13" i="128" s="1"/>
  <c r="C158" i="135"/>
  <c r="C63" i="135" s="1"/>
  <c r="F50" i="128" s="1"/>
  <c r="D63" i="135"/>
  <c r="H50" i="128" s="1"/>
  <c r="G50" i="128" s="1"/>
  <c r="C159" i="135"/>
  <c r="C64" i="135" s="1"/>
  <c r="F51" i="128" s="1"/>
  <c r="D64" i="135"/>
  <c r="H51" i="128" s="1"/>
  <c r="G51" i="128" s="1"/>
  <c r="C154" i="136"/>
  <c r="C44" i="136" s="1"/>
  <c r="F71" i="128" s="1"/>
  <c r="D33" i="135"/>
  <c r="C157" i="135"/>
  <c r="C33" i="135" s="1"/>
  <c r="D33" i="136"/>
  <c r="C157" i="136"/>
  <c r="C33" i="136" s="1"/>
  <c r="C137" i="136"/>
  <c r="C80" i="136" s="1"/>
  <c r="C140" i="136"/>
  <c r="D92" i="135"/>
  <c r="C139" i="135"/>
  <c r="C82" i="135" s="1"/>
  <c r="C138" i="135"/>
  <c r="C81" i="135" s="1"/>
  <c r="C163" i="135"/>
  <c r="C166" i="135"/>
  <c r="D28" i="136"/>
  <c r="C28" i="136" s="1"/>
  <c r="C13" i="128" l="1"/>
  <c r="C137" i="135"/>
  <c r="C80" i="135" s="1"/>
  <c r="C140" i="135"/>
  <c r="C83" i="135"/>
  <c r="C92" i="135"/>
  <c r="D28" i="135"/>
  <c r="C28" i="135" s="1"/>
  <c r="C6" i="128" l="1"/>
  <c r="B6" i="128"/>
  <c r="C5" i="128"/>
  <c r="B5" i="128"/>
  <c r="C4" i="128"/>
  <c r="B4" i="128"/>
  <c r="F18" i="128"/>
  <c r="F17" i="128"/>
  <c r="F16" i="128"/>
  <c r="H18" i="128" l="1"/>
  <c r="H17" i="128"/>
  <c r="H16" i="128"/>
  <c r="C16" i="92" l="1"/>
  <c r="B14" i="122" l="1"/>
  <c r="E165" i="92" l="1"/>
  <c r="I165" i="92" s="1"/>
  <c r="D11" i="113" l="1"/>
  <c r="I166" i="92" l="1"/>
  <c r="D27" i="113" l="1"/>
  <c r="D26" i="113"/>
  <c r="C54" i="115" l="1"/>
  <c r="E102" i="92"/>
  <c r="E106" i="92"/>
  <c r="E167" i="92"/>
  <c r="E164" i="92"/>
  <c r="E99" i="92"/>
  <c r="F20" i="113" l="1"/>
  <c r="D20" i="113"/>
  <c r="E163" i="92"/>
  <c r="E162" i="92"/>
  <c r="E161" i="92"/>
  <c r="E160" i="92"/>
  <c r="F14" i="122" l="1" a="1"/>
  <c r="F14" i="122" s="1"/>
  <c r="C55" i="115"/>
  <c r="E101" i="92"/>
  <c r="E100" i="92"/>
  <c r="K100" i="92" s="1"/>
  <c r="E98" i="92"/>
  <c r="E97" i="92"/>
  <c r="E96" i="92"/>
  <c r="E95" i="92"/>
  <c r="I16" i="87" l="1"/>
  <c r="I17" i="87"/>
  <c r="E132" i="92" l="1"/>
  <c r="E135" i="92"/>
  <c r="E136" i="92"/>
  <c r="E137" i="92"/>
  <c r="E138" i="92"/>
  <c r="E139" i="92"/>
  <c r="E140" i="92"/>
  <c r="E141" i="92"/>
  <c r="E142" i="92"/>
  <c r="E143" i="92"/>
  <c r="E144" i="92"/>
  <c r="E107" i="92"/>
  <c r="E108" i="92"/>
  <c r="E109" i="92"/>
  <c r="E110" i="92"/>
  <c r="E111" i="92"/>
  <c r="E112" i="92"/>
  <c r="E113" i="92"/>
  <c r="E114" i="92"/>
  <c r="E115" i="92"/>
  <c r="E116" i="92"/>
  <c r="E117" i="92"/>
  <c r="E118" i="92"/>
  <c r="E119" i="92"/>
  <c r="E120" i="92"/>
  <c r="E121" i="92"/>
  <c r="E122" i="92"/>
  <c r="E123" i="92"/>
  <c r="E124" i="92"/>
  <c r="E125" i="92"/>
  <c r="E126" i="92"/>
  <c r="E127" i="92"/>
  <c r="E128" i="92"/>
  <c r="E129" i="92"/>
  <c r="AC24" i="113"/>
  <c r="AB24" i="113"/>
  <c r="AA24" i="113"/>
  <c r="Z24" i="113"/>
  <c r="Y24" i="113"/>
  <c r="X24" i="113"/>
  <c r="W24" i="113"/>
  <c r="V24" i="113"/>
  <c r="U24" i="113"/>
  <c r="T24" i="113"/>
  <c r="S24" i="113"/>
  <c r="R24" i="113"/>
  <c r="Q24" i="113"/>
  <c r="P24" i="113"/>
  <c r="O24" i="113"/>
  <c r="N24" i="113"/>
  <c r="M24" i="113"/>
  <c r="L24" i="113"/>
  <c r="K24" i="113"/>
  <c r="J24" i="113"/>
  <c r="I24" i="113"/>
  <c r="H24" i="113"/>
  <c r="G24" i="113"/>
  <c r="F24" i="113"/>
  <c r="E24" i="113"/>
  <c r="D24" i="113"/>
  <c r="R23" i="113"/>
  <c r="P23" i="113"/>
  <c r="N23" i="113"/>
  <c r="L23" i="113"/>
  <c r="AB11" i="113"/>
  <c r="Z11" i="113"/>
  <c r="X11" i="113"/>
  <c r="X26" i="113" s="1"/>
  <c r="V11" i="113"/>
  <c r="T11" i="113"/>
  <c r="R11" i="113"/>
  <c r="P11" i="113"/>
  <c r="N11" i="113"/>
  <c r="L11" i="113"/>
  <c r="J11" i="113"/>
  <c r="J27" i="113" s="1"/>
  <c r="H11" i="113"/>
  <c r="H27" i="113" s="1"/>
  <c r="F11" i="113"/>
  <c r="AC10" i="113"/>
  <c r="AA10" i="113"/>
  <c r="Y10" i="113"/>
  <c r="W10" i="113"/>
  <c r="U10" i="113"/>
  <c r="Q10" i="113"/>
  <c r="M10" i="113"/>
  <c r="K10" i="113"/>
  <c r="I10" i="113"/>
  <c r="AB9" i="113"/>
  <c r="Z9" i="113"/>
  <c r="X9" i="113"/>
  <c r="V9" i="113"/>
  <c r="T9" i="113"/>
  <c r="P9" i="113"/>
  <c r="L9" i="113"/>
  <c r="J9" i="113"/>
  <c r="H9" i="113"/>
  <c r="S14" i="113" l="1"/>
  <c r="S17" i="113"/>
  <c r="J26" i="113"/>
  <c r="P27" i="113"/>
  <c r="P26" i="113"/>
  <c r="H26" i="113"/>
  <c r="R26" i="113"/>
  <c r="R27" i="113"/>
  <c r="AB26" i="113"/>
  <c r="AB27" i="113"/>
  <c r="T26" i="113"/>
  <c r="T27" i="113"/>
  <c r="V26" i="113"/>
  <c r="V27" i="113"/>
  <c r="Z26" i="113"/>
  <c r="Z27" i="113"/>
  <c r="F27" i="113"/>
  <c r="F26" i="113"/>
  <c r="L27" i="113"/>
  <c r="L26" i="113"/>
  <c r="N27" i="113"/>
  <c r="N26" i="113"/>
  <c r="X27" i="113"/>
  <c r="I17" i="113" l="1"/>
  <c r="U14" i="113"/>
  <c r="Q14" i="113"/>
  <c r="O14" i="113"/>
  <c r="W14" i="113"/>
  <c r="M17" i="113"/>
  <c r="U17" i="113"/>
  <c r="O17" i="113"/>
  <c r="Y17" i="113"/>
  <c r="G17" i="113"/>
  <c r="M14" i="113"/>
  <c r="W17" i="113"/>
  <c r="AA17" i="113"/>
  <c r="AA14" i="113"/>
  <c r="Q17" i="113"/>
  <c r="Y14" i="113"/>
  <c r="E14" i="113"/>
  <c r="E17" i="113"/>
  <c r="G14" i="113" l="1"/>
  <c r="I14" i="113"/>
  <c r="AA12" i="93" l="1"/>
  <c r="AA13" i="93"/>
  <c r="AA14" i="93"/>
  <c r="AA15" i="93"/>
  <c r="AB15" i="93"/>
  <c r="AB14" i="93"/>
  <c r="AB13" i="93"/>
  <c r="AB12" i="93"/>
  <c r="E40" i="97" a="1"/>
  <c r="D47" i="97" a="1"/>
  <c r="F45" i="97" a="1"/>
  <c r="G50" i="97" a="1"/>
  <c r="G48" i="97" a="1"/>
  <c r="E47" i="97" a="1"/>
  <c r="G42" i="97" a="1"/>
  <c r="E51" i="97" a="1"/>
  <c r="G47" i="97" a="1"/>
  <c r="F48" i="97" a="1"/>
  <c r="F42" i="97" a="1"/>
  <c r="G45" i="97" a="1"/>
  <c r="E44" i="97" a="1"/>
  <c r="F50" i="97" a="1"/>
  <c r="G46" i="97" a="1"/>
  <c r="F47" i="97" a="1"/>
  <c r="F44" i="97" a="1"/>
  <c r="D42" i="97" a="1"/>
  <c r="D49" i="97" a="1"/>
  <c r="F40" i="97" a="1"/>
  <c r="F41" i="97" a="1"/>
  <c r="G49" i="97" a="1"/>
  <c r="F43" i="97" a="1"/>
  <c r="F51" i="97" a="1"/>
  <c r="D43" i="97" a="1"/>
  <c r="E48" i="97" a="1"/>
  <c r="D50" i="97" a="1"/>
  <c r="D51" i="97" a="1"/>
  <c r="G51" i="97" a="1"/>
  <c r="G41" i="97" a="1"/>
  <c r="E42" i="97" a="1"/>
  <c r="F49" i="97" a="1"/>
  <c r="E43" i="97" a="1"/>
  <c r="G40" i="97" a="1"/>
  <c r="F46" i="97" a="1"/>
  <c r="D46" i="97" a="1"/>
  <c r="D45" i="97" a="1"/>
  <c r="E50" i="97" a="1"/>
  <c r="E49" i="97" a="1"/>
  <c r="E41" i="97" a="1"/>
  <c r="D41" i="97" a="1"/>
  <c r="E45" i="97" a="1"/>
  <c r="D40" i="97" a="1"/>
  <c r="G44" i="97" a="1"/>
  <c r="D44" i="97" a="1"/>
  <c r="E46" i="97" a="1"/>
  <c r="G43" i="97" a="1"/>
  <c r="D48" i="97" a="1"/>
  <c r="D49" i="97" l="1"/>
  <c r="D43" i="97"/>
  <c r="D45" i="97"/>
  <c r="D50" i="97"/>
  <c r="D46" i="97"/>
  <c r="D47" i="97"/>
  <c r="D44" i="97"/>
  <c r="D40" i="97"/>
  <c r="D42" i="97"/>
  <c r="D41" i="97"/>
  <c r="D48" i="97"/>
  <c r="D51" i="97"/>
  <c r="G46" i="97"/>
  <c r="G49" i="97"/>
  <c r="G50" i="97"/>
  <c r="G43" i="97"/>
  <c r="G40" i="97"/>
  <c r="G48" i="97"/>
  <c r="G41" i="97"/>
  <c r="G44" i="97"/>
  <c r="G47" i="97"/>
  <c r="G45" i="97"/>
  <c r="G51" i="97"/>
  <c r="G42" i="97"/>
  <c r="F40" i="97"/>
  <c r="F49" i="97"/>
  <c r="F42" i="97"/>
  <c r="F41" i="97"/>
  <c r="F45" i="97"/>
  <c r="F50" i="97"/>
  <c r="F44" i="97"/>
  <c r="F48" i="97"/>
  <c r="F43" i="97"/>
  <c r="F46" i="97"/>
  <c r="F51" i="97"/>
  <c r="F47" i="97"/>
  <c r="E51" i="97"/>
  <c r="E47" i="97"/>
  <c r="E49" i="97"/>
  <c r="E50" i="97"/>
  <c r="E41" i="97"/>
  <c r="E45" i="97"/>
  <c r="E43" i="97"/>
  <c r="E40" i="97"/>
  <c r="E42" i="97"/>
  <c r="E46" i="97"/>
  <c r="E44" i="97"/>
  <c r="E48" i="97"/>
  <c r="AB11" i="93"/>
  <c r="AA4" i="93"/>
  <c r="AA5" i="93"/>
  <c r="AA6" i="93"/>
  <c r="AA7" i="93"/>
  <c r="AA8" i="93"/>
  <c r="AA9" i="93"/>
  <c r="AA10" i="93"/>
  <c r="AA11" i="93"/>
  <c r="AB10" i="93"/>
  <c r="AB9" i="93"/>
  <c r="AB8" i="93"/>
  <c r="F35" i="97" a="1"/>
  <c r="F32" i="97" a="1"/>
  <c r="E25" i="97" a="1"/>
  <c r="F28" i="97" a="1"/>
  <c r="G28" i="97" a="1"/>
  <c r="D36" i="97" a="1"/>
  <c r="G33" i="97" a="1"/>
  <c r="G22" i="97" a="1"/>
  <c r="G34" i="97" a="1"/>
  <c r="G39" i="97" a="1"/>
  <c r="E24" i="97" a="1"/>
  <c r="G26" i="97" a="1"/>
  <c r="G17" i="97" a="1"/>
  <c r="E16" i="97" a="1"/>
  <c r="D32" i="97" a="1"/>
  <c r="F33" i="97" a="1"/>
  <c r="E27" i="97" a="1"/>
  <c r="G20" i="97" a="1"/>
  <c r="E30" i="97" a="1"/>
  <c r="G25" i="97" a="1"/>
  <c r="E19" i="97" a="1"/>
  <c r="D31" i="97" a="1"/>
  <c r="E29" i="97" a="1"/>
  <c r="D28" i="97" a="1"/>
  <c r="G38" i="97" a="1"/>
  <c r="D34" i="97" a="1"/>
  <c r="E28" i="97" a="1"/>
  <c r="E32" i="97" a="1"/>
  <c r="F29" i="97" a="1"/>
  <c r="E17" i="97" a="1"/>
  <c r="G18" i="97" a="1"/>
  <c r="G21" i="97" a="1"/>
  <c r="D29" i="97" a="1"/>
  <c r="E36" i="97" a="1"/>
  <c r="E20" i="97" a="1"/>
  <c r="D38" i="97" a="1"/>
  <c r="G29" i="97" a="1"/>
  <c r="E34" i="97" a="1"/>
  <c r="D37" i="97" a="1"/>
  <c r="G36" i="97" a="1"/>
  <c r="E21" i="97" a="1"/>
  <c r="E23" i="97" a="1"/>
  <c r="F34" i="97" a="1"/>
  <c r="E31" i="97" a="1"/>
  <c r="E18" i="97" a="1"/>
  <c r="E38" i="97" a="1"/>
  <c r="G16" i="97" a="1"/>
  <c r="G31" i="97" a="1"/>
  <c r="E37" i="97" a="1"/>
  <c r="F30" i="97" a="1"/>
  <c r="E35" i="97" a="1"/>
  <c r="D39" i="97" a="1"/>
  <c r="G35" i="97" a="1"/>
  <c r="E39" i="97" a="1"/>
  <c r="G32" i="97" a="1"/>
  <c r="G23" i="97" a="1"/>
  <c r="G27" i="97" a="1"/>
  <c r="F38" i="97" a="1"/>
  <c r="F36" i="97" a="1"/>
  <c r="E22" i="97" a="1"/>
  <c r="F31" i="97" a="1"/>
  <c r="F37" i="97" a="1"/>
  <c r="D30" i="97" a="1"/>
  <c r="G30" i="97" a="1"/>
  <c r="E33" i="97" a="1"/>
  <c r="D35" i="97" a="1"/>
  <c r="G19" i="97" a="1"/>
  <c r="E26" i="97" a="1"/>
  <c r="G24" i="97" a="1"/>
  <c r="D33" i="97" a="1"/>
  <c r="G37" i="97" a="1"/>
  <c r="F39" i="97" a="1"/>
  <c r="D39" i="97" l="1"/>
  <c r="D30" i="97"/>
  <c r="D37" i="97"/>
  <c r="D33" i="97"/>
  <c r="D36" i="97"/>
  <c r="D38" i="97"/>
  <c r="D29" i="97"/>
  <c r="D35" i="97"/>
  <c r="D32" i="97"/>
  <c r="D31" i="97"/>
  <c r="D28" i="97"/>
  <c r="D34" i="97"/>
  <c r="E39" i="97"/>
  <c r="E32" i="97"/>
  <c r="E29" i="97"/>
  <c r="E30" i="97"/>
  <c r="E34" i="97"/>
  <c r="E35" i="97"/>
  <c r="E28" i="97"/>
  <c r="E37" i="97"/>
  <c r="E38" i="97"/>
  <c r="E36" i="97"/>
  <c r="E31" i="97"/>
  <c r="E33" i="97"/>
  <c r="G39" i="97"/>
  <c r="G35" i="97"/>
  <c r="G30" i="97"/>
  <c r="G36" i="97"/>
  <c r="G31" i="97"/>
  <c r="G28" i="97"/>
  <c r="G34" i="97"/>
  <c r="G29" i="97"/>
  <c r="G38" i="97"/>
  <c r="G37" i="97"/>
  <c r="G32" i="97"/>
  <c r="G33" i="97"/>
  <c r="E17" i="97"/>
  <c r="E18" i="97"/>
  <c r="E27" i="97"/>
  <c r="E16" i="97"/>
  <c r="E20" i="97"/>
  <c r="E23" i="97"/>
  <c r="E21" i="97"/>
  <c r="E24" i="97"/>
  <c r="E19" i="97"/>
  <c r="E25" i="97"/>
  <c r="E22" i="97"/>
  <c r="E26" i="97"/>
  <c r="F30" i="97"/>
  <c r="F28" i="97"/>
  <c r="F37" i="97"/>
  <c r="F36" i="97"/>
  <c r="F33" i="97"/>
  <c r="F32" i="97"/>
  <c r="F39" i="97"/>
  <c r="F35" i="97"/>
  <c r="F29" i="97"/>
  <c r="F34" i="97"/>
  <c r="F31" i="97"/>
  <c r="F38" i="97"/>
  <c r="G21" i="97"/>
  <c r="G17" i="97"/>
  <c r="G20" i="97"/>
  <c r="G27" i="97"/>
  <c r="G16" i="97"/>
  <c r="G23" i="97"/>
  <c r="G26" i="97"/>
  <c r="G24" i="97"/>
  <c r="G19" i="97"/>
  <c r="G25" i="97"/>
  <c r="G22" i="97"/>
  <c r="G18" i="97"/>
  <c r="AB7" i="93"/>
  <c r="AB6" i="93"/>
  <c r="AB5" i="93"/>
  <c r="AB4" i="93"/>
  <c r="D23" i="97" a="1"/>
  <c r="F19" i="97" a="1"/>
  <c r="D18" i="97" a="1"/>
  <c r="F26" i="97" a="1"/>
  <c r="F23" i="97" a="1"/>
  <c r="F22" i="97" a="1"/>
  <c r="F21" i="97" a="1"/>
  <c r="D17" i="97" a="1"/>
  <c r="D27" i="97" a="1"/>
  <c r="D22" i="97" a="1"/>
  <c r="F25" i="97" a="1"/>
  <c r="D16" i="97" a="1"/>
  <c r="D24" i="97" a="1"/>
  <c r="D20" i="97" a="1"/>
  <c r="F27" i="97" a="1"/>
  <c r="D21" i="97" a="1"/>
  <c r="F17" i="97" a="1"/>
  <c r="D19" i="97" a="1"/>
  <c r="F16" i="97" a="1"/>
  <c r="D26" i="97" a="1"/>
  <c r="F18" i="97" a="1"/>
  <c r="D25" i="97" a="1"/>
  <c r="F20" i="97" a="1"/>
  <c r="F24" i="97" a="1"/>
  <c r="K48" i="97" l="1"/>
  <c r="R18" i="113" s="1"/>
  <c r="I48" i="97"/>
  <c r="R15" i="113" s="1"/>
  <c r="F19" i="97"/>
  <c r="F20" i="97"/>
  <c r="F18" i="97"/>
  <c r="F26" i="97"/>
  <c r="F24" i="97"/>
  <c r="F25" i="97"/>
  <c r="F23" i="97"/>
  <c r="F17" i="97"/>
  <c r="F16" i="97"/>
  <c r="F27" i="97"/>
  <c r="J50" i="97" s="1"/>
  <c r="F21" i="97"/>
  <c r="F22" i="97"/>
  <c r="D20" i="97"/>
  <c r="D23" i="97"/>
  <c r="D22" i="97"/>
  <c r="D24" i="97"/>
  <c r="D26" i="97"/>
  <c r="D19" i="97"/>
  <c r="D17" i="97"/>
  <c r="D27" i="97"/>
  <c r="H50" i="97" s="1"/>
  <c r="D16" i="97"/>
  <c r="D21" i="97"/>
  <c r="D18" i="97"/>
  <c r="D25" i="97"/>
  <c r="K49" i="97"/>
  <c r="H51" i="97"/>
  <c r="J51" i="97"/>
  <c r="I49" i="97"/>
  <c r="K51" i="97"/>
  <c r="I51" i="97"/>
  <c r="K50" i="97"/>
  <c r="I50" i="97"/>
  <c r="R20" i="113"/>
  <c r="H49" i="97" l="1"/>
  <c r="H48" i="97"/>
  <c r="R16" i="113" s="1"/>
  <c r="J48" i="97"/>
  <c r="R19" i="113" s="1"/>
  <c r="J49" i="97"/>
  <c r="C13" i="92"/>
  <c r="E182" i="92"/>
  <c r="E181" i="92"/>
  <c r="E180" i="92"/>
  <c r="E171" i="92"/>
  <c r="E149" i="92"/>
  <c r="E148" i="92"/>
  <c r="E147" i="92"/>
  <c r="C6" i="92"/>
  <c r="B6" i="92"/>
  <c r="C5" i="92"/>
  <c r="B5" i="92"/>
  <c r="C4" i="92"/>
  <c r="B4" i="92"/>
  <c r="C182" i="92" l="1"/>
  <c r="C149" i="92"/>
  <c r="C181" i="92"/>
  <c r="C148" i="92"/>
  <c r="C17" i="92"/>
  <c r="C180" i="92"/>
  <c r="C147" i="92"/>
  <c r="C164" i="92"/>
  <c r="C102" i="92"/>
  <c r="C99" i="92"/>
  <c r="C167" i="92"/>
  <c r="H20" i="113"/>
  <c r="Z20" i="113"/>
  <c r="T20" i="113"/>
  <c r="X20" i="113"/>
  <c r="P20" i="113"/>
  <c r="N20" i="113"/>
  <c r="L20" i="113"/>
  <c r="C160" i="92" l="1"/>
  <c r="C161" i="92"/>
  <c r="C176" i="92"/>
  <c r="C171" i="92"/>
  <c r="C175" i="92"/>
  <c r="C163" i="92"/>
  <c r="C162" i="92"/>
  <c r="C174" i="92"/>
  <c r="C177" i="92"/>
  <c r="C142" i="92"/>
  <c r="C132" i="92"/>
  <c r="C122" i="92"/>
  <c r="C114" i="92"/>
  <c r="C106" i="92"/>
  <c r="C128" i="92"/>
  <c r="C98" i="92"/>
  <c r="C141" i="92"/>
  <c r="C129" i="92"/>
  <c r="C121" i="92"/>
  <c r="C113" i="92"/>
  <c r="C101" i="92"/>
  <c r="C100" i="92"/>
  <c r="C140" i="92"/>
  <c r="C120" i="92"/>
  <c r="C112" i="92"/>
  <c r="C139" i="92"/>
  <c r="C127" i="92"/>
  <c r="C119" i="92"/>
  <c r="C111" i="92"/>
  <c r="C97" i="92"/>
  <c r="C124" i="92"/>
  <c r="C108" i="92"/>
  <c r="C143" i="92"/>
  <c r="C138" i="92"/>
  <c r="C126" i="92"/>
  <c r="C118" i="92"/>
  <c r="C110" i="92"/>
  <c r="C96" i="92"/>
  <c r="C135" i="92"/>
  <c r="C137" i="92"/>
  <c r="C125" i="92"/>
  <c r="C117" i="92"/>
  <c r="C109" i="92"/>
  <c r="C95" i="92"/>
  <c r="C144" i="92"/>
  <c r="C136" i="92"/>
  <c r="C116" i="92"/>
  <c r="C115" i="92"/>
  <c r="C107" i="92"/>
  <c r="C123" i="92"/>
  <c r="V20" i="113"/>
  <c r="AB20" i="113"/>
  <c r="C28" i="92" l="1"/>
  <c r="C63" i="92"/>
  <c r="F208" i="128" s="1"/>
  <c r="C52" i="92"/>
  <c r="F197" i="128" s="1"/>
  <c r="C56" i="92"/>
  <c r="F201" i="128" s="1"/>
  <c r="C66" i="92"/>
  <c r="F210" i="128" s="1"/>
  <c r="C43" i="92"/>
  <c r="F188" i="128" s="1"/>
  <c r="C53" i="92"/>
  <c r="F198" i="128" s="1"/>
  <c r="C73" i="92"/>
  <c r="F215" i="128" s="1"/>
  <c r="C74" i="92"/>
  <c r="F216" i="128" s="1"/>
  <c r="C45" i="92"/>
  <c r="F190" i="128" s="1"/>
  <c r="C57" i="92"/>
  <c r="F202" i="128" s="1"/>
  <c r="C76" i="92"/>
  <c r="F218" i="128" s="1"/>
  <c r="C41" i="92"/>
  <c r="F186" i="128" s="1"/>
  <c r="C72" i="92"/>
  <c r="F214" i="128" s="1"/>
  <c r="C50" i="92"/>
  <c r="F195" i="128" s="1"/>
  <c r="C62" i="92"/>
  <c r="F207" i="128" s="1"/>
  <c r="C44" i="92"/>
  <c r="F189" i="128" s="1"/>
  <c r="C67" i="92"/>
  <c r="F211" i="128" s="1"/>
  <c r="C42" i="92"/>
  <c r="F187" i="128" s="1"/>
  <c r="C55" i="92"/>
  <c r="F200" i="128" s="1"/>
  <c r="C47" i="92"/>
  <c r="F192" i="128" s="1"/>
  <c r="C51" i="92"/>
  <c r="F196" i="128" s="1"/>
  <c r="C75" i="92"/>
  <c r="F217" i="128" s="1"/>
  <c r="C40" i="92"/>
  <c r="F185" i="128" s="1"/>
  <c r="C48" i="92"/>
  <c r="F193" i="128" s="1"/>
  <c r="C80" i="92"/>
  <c r="F222" i="128" s="1"/>
  <c r="C58" i="92"/>
  <c r="F203" i="128" s="1"/>
  <c r="C54" i="92"/>
  <c r="F199" i="128" s="1"/>
  <c r="C59" i="92"/>
  <c r="F204" i="128" s="1"/>
  <c r="C78" i="92"/>
  <c r="F220" i="128" s="1"/>
  <c r="C31" i="92"/>
  <c r="C46" i="92"/>
  <c r="F191" i="128" s="1"/>
  <c r="C60" i="92"/>
  <c r="F205" i="128" s="1"/>
  <c r="C77" i="92"/>
  <c r="F219" i="128" s="1"/>
  <c r="C49" i="92"/>
  <c r="F194" i="128" s="1"/>
  <c r="C61" i="92"/>
  <c r="F206" i="128" s="1"/>
  <c r="C79" i="92"/>
  <c r="F221" i="128" s="1"/>
  <c r="C68" i="92"/>
  <c r="F212" i="128" s="1"/>
  <c r="C36" i="92"/>
  <c r="F209" i="128" s="1"/>
  <c r="C71" i="92"/>
  <c r="F213" i="128" s="1"/>
  <c r="C32" i="92" l="1"/>
  <c r="C85" i="92"/>
  <c r="C35" i="92"/>
  <c r="C83" i="92"/>
  <c r="C84" i="92"/>
  <c r="C30" i="92"/>
  <c r="C29" i="92"/>
  <c r="K14" i="113" l="1"/>
  <c r="K17" i="113"/>
  <c r="AC17" i="113"/>
  <c r="AC14" i="113"/>
  <c r="R14" i="113" l="1"/>
  <c r="F18" i="122" s="1"/>
  <c r="R17" i="113" l="1"/>
  <c r="R25" i="113" s="1"/>
  <c r="F19" i="122" l="1"/>
  <c r="F20" i="122" s="1"/>
  <c r="F23" i="122" s="1"/>
  <c r="K50" i="101"/>
  <c r="K51" i="101"/>
  <c r="I49" i="101"/>
  <c r="K49" i="101"/>
  <c r="I51" i="101"/>
  <c r="K48" i="101"/>
  <c r="I50" i="101"/>
  <c r="I48" i="101"/>
  <c r="F25" i="122" l="1"/>
  <c r="F9" i="48" l="1"/>
  <c r="F8" i="48"/>
  <c r="F7" i="48"/>
  <c r="F6" i="48"/>
  <c r="F9" i="49"/>
  <c r="F8" i="49"/>
  <c r="F7" i="49"/>
  <c r="F6" i="49"/>
  <c r="F9" i="50"/>
  <c r="F8" i="50"/>
  <c r="F7" i="50"/>
  <c r="F6" i="50"/>
  <c r="H9" i="48"/>
  <c r="H8" i="48"/>
  <c r="H7" i="48"/>
  <c r="H6" i="48"/>
  <c r="H9" i="49"/>
  <c r="H8" i="49"/>
  <c r="H7" i="49"/>
  <c r="H6" i="49"/>
  <c r="H9" i="50"/>
  <c r="H8" i="50"/>
  <c r="H7" i="50"/>
  <c r="H6" i="50"/>
  <c r="D44" i="103" a="1"/>
  <c r="F35" i="103" a="1"/>
  <c r="G23" i="102" a="1"/>
  <c r="G47" i="98" a="1"/>
  <c r="G48" i="102" a="1"/>
  <c r="F22" i="95" a="1"/>
  <c r="G19" i="96" a="1"/>
  <c r="G25" i="100" a="1"/>
  <c r="D28" i="100" a="1"/>
  <c r="F31" i="102" a="1"/>
  <c r="D30" i="95" a="1"/>
  <c r="F47" i="102" a="1"/>
  <c r="D34" i="95" a="1"/>
  <c r="F22" i="100" a="1"/>
  <c r="E48" i="95" a="1"/>
  <c r="F31" i="95" a="1"/>
  <c r="E50" i="100" a="1"/>
  <c r="E48" i="100" a="1"/>
  <c r="D50" i="103" a="1"/>
  <c r="G22" i="95" a="1"/>
  <c r="F25" i="95" a="1"/>
  <c r="G48" i="98" a="1"/>
  <c r="G48" i="103" a="1"/>
  <c r="E17" i="98" a="1"/>
  <c r="E43" i="102" a="1"/>
  <c r="G38" i="102" a="1"/>
  <c r="G26" i="96" a="1"/>
  <c r="E22" i="96" a="1"/>
  <c r="D44" i="102" a="1"/>
  <c r="F28" i="104" a="1"/>
  <c r="D48" i="98" a="1"/>
  <c r="F50" i="102" a="1"/>
  <c r="E21" i="102" a="1"/>
  <c r="E48" i="96" a="1"/>
  <c r="F23" i="96" a="1"/>
  <c r="E49" i="94" a="1"/>
  <c r="D22" i="95" a="1"/>
  <c r="F40" i="98" a="1"/>
  <c r="F42" i="100" a="1"/>
  <c r="D33" i="96" a="1"/>
  <c r="F49" i="96" a="1"/>
  <c r="D29" i="98" a="1"/>
  <c r="D24" i="98" a="1"/>
  <c r="F45" i="104" a="1"/>
  <c r="D43" i="96" a="1"/>
  <c r="E16" i="94" a="1"/>
  <c r="F36" i="94" a="1"/>
  <c r="G47" i="104" a="1"/>
  <c r="G16" i="104" a="1"/>
  <c r="D24" i="94" a="1"/>
  <c r="D39" i="102" a="1"/>
  <c r="F51" i="102" a="1"/>
  <c r="E51" i="94" a="1"/>
  <c r="F37" i="96" a="1"/>
  <c r="E51" i="96" a="1"/>
  <c r="E29" i="94" a="1"/>
  <c r="D38" i="96" a="1"/>
  <c r="E34" i="96" a="1"/>
  <c r="G49" i="98" a="1"/>
  <c r="F48" i="103" a="1"/>
  <c r="F48" i="104" a="1"/>
  <c r="E34" i="104" a="1"/>
  <c r="G19" i="98" a="1"/>
  <c r="D17" i="102" a="1"/>
  <c r="D27" i="94" a="1"/>
  <c r="F30" i="95" a="1"/>
  <c r="G42" i="104" a="1"/>
  <c r="G36" i="102" a="1"/>
  <c r="F35" i="104" a="1"/>
  <c r="G40" i="96" a="1"/>
  <c r="D49" i="96" a="1"/>
  <c r="E50" i="102" a="1"/>
  <c r="D36" i="100" a="1"/>
  <c r="D36" i="104" a="1"/>
  <c r="F29" i="94" a="1"/>
  <c r="F19" i="94" a="1"/>
  <c r="F48" i="102" a="1"/>
  <c r="G35" i="104" a="1"/>
  <c r="D28" i="94" a="1"/>
  <c r="E48" i="104" a="1"/>
  <c r="E30" i="103" a="1"/>
  <c r="E31" i="96" a="1"/>
  <c r="F43" i="104" a="1"/>
  <c r="E36" i="96" a="1"/>
  <c r="D51" i="103" a="1"/>
  <c r="G21" i="102" a="1"/>
  <c r="F17" i="103" a="1"/>
  <c r="D24" i="104" a="1"/>
  <c r="F27" i="98" a="1"/>
  <c r="D44" i="95" a="1"/>
  <c r="F46" i="94" a="1"/>
  <c r="F39" i="103" a="1"/>
  <c r="G21" i="96" a="1"/>
  <c r="F26" i="104" a="1"/>
  <c r="F39" i="98" a="1"/>
  <c r="F32" i="95" a="1"/>
  <c r="D46" i="96" a="1"/>
  <c r="E23" i="103" a="1"/>
  <c r="E20" i="102" a="1"/>
  <c r="F40" i="94" a="1"/>
  <c r="G38" i="95" a="1"/>
  <c r="F48" i="94" a="1"/>
  <c r="E28" i="98" a="1"/>
  <c r="E41" i="102" a="1"/>
  <c r="F37" i="104" a="1"/>
  <c r="F49" i="103" a="1"/>
  <c r="E46" i="104" a="1"/>
  <c r="D22" i="94" a="1"/>
  <c r="F43" i="100" a="1"/>
  <c r="E38" i="103" a="1"/>
  <c r="F29" i="103" a="1"/>
  <c r="D46" i="102" a="1"/>
  <c r="D22" i="100" a="1"/>
  <c r="E49" i="96" a="1"/>
  <c r="D42" i="102" a="1"/>
  <c r="E32" i="100" a="1"/>
  <c r="F21" i="102" a="1"/>
  <c r="F47" i="95" a="1"/>
  <c r="G31" i="103" a="1"/>
  <c r="D32" i="103" a="1"/>
  <c r="F50" i="94" a="1"/>
  <c r="D33" i="102" a="1"/>
  <c r="D43" i="95" a="1"/>
  <c r="G44" i="95" a="1"/>
  <c r="D25" i="103" a="1"/>
  <c r="F31" i="94" a="1"/>
  <c r="G16" i="103" a="1"/>
  <c r="E40" i="98" a="1"/>
  <c r="F48" i="98" a="1"/>
  <c r="G32" i="104" a="1"/>
  <c r="D41" i="95" a="1"/>
  <c r="E32" i="103" a="1"/>
  <c r="E32" i="102" a="1"/>
  <c r="F30" i="94" a="1"/>
  <c r="D49" i="95" a="1"/>
  <c r="E35" i="98" a="1"/>
  <c r="E28" i="102" a="1"/>
  <c r="D18" i="96" a="1"/>
  <c r="G34" i="95" a="1"/>
  <c r="E49" i="98" a="1"/>
  <c r="G39" i="95" a="1"/>
  <c r="E22" i="103" a="1"/>
  <c r="D43" i="104" a="1"/>
  <c r="D33" i="94" a="1"/>
  <c r="D48" i="103" a="1"/>
  <c r="E17" i="95" a="1"/>
  <c r="G20" i="103" a="1"/>
  <c r="F51" i="103" a="1"/>
  <c r="F16" i="104" a="1"/>
  <c r="F32" i="94" a="1"/>
  <c r="D50" i="94" a="1"/>
  <c r="D46" i="103" a="1"/>
  <c r="F25" i="102" a="1"/>
  <c r="E39" i="96" a="1"/>
  <c r="D23" i="104" a="1"/>
  <c r="F47" i="100" a="1"/>
  <c r="E28" i="95" a="1"/>
  <c r="E37" i="102" a="1"/>
  <c r="F26" i="102" a="1"/>
  <c r="E45" i="95" a="1"/>
  <c r="G17" i="104" a="1"/>
  <c r="G42" i="94" a="1"/>
  <c r="F26" i="95" a="1"/>
  <c r="F23" i="104" a="1"/>
  <c r="G26" i="95" a="1"/>
  <c r="D40" i="95" a="1"/>
  <c r="E51" i="100" a="1"/>
  <c r="D18" i="95" a="1"/>
  <c r="F24" i="94" a="1"/>
  <c r="F36" i="95" a="1"/>
  <c r="E25" i="96" a="1"/>
  <c r="F36" i="103" a="1"/>
  <c r="G30" i="104" a="1"/>
  <c r="E37" i="103" a="1"/>
  <c r="D46" i="95" a="1"/>
  <c r="D42" i="95" a="1"/>
  <c r="D24" i="100" a="1"/>
  <c r="E43" i="104" a="1"/>
  <c r="D32" i="96" a="1"/>
  <c r="G39" i="96" a="1"/>
  <c r="D37" i="96" a="1"/>
  <c r="D34" i="104" a="1"/>
  <c r="G29" i="102" a="1"/>
  <c r="G47" i="103" a="1"/>
  <c r="F24" i="102" a="1"/>
  <c r="G17" i="102" a="1"/>
  <c r="D45" i="95" a="1"/>
  <c r="D16" i="103" a="1"/>
  <c r="E24" i="104" a="1"/>
  <c r="G36" i="100" a="1"/>
  <c r="F27" i="95" a="1"/>
  <c r="G21" i="98" a="1"/>
  <c r="F24" i="100" a="1"/>
  <c r="D33" i="95" a="1"/>
  <c r="D38" i="103" a="1"/>
  <c r="D38" i="102" a="1"/>
  <c r="F38" i="104" a="1"/>
  <c r="G37" i="94" a="1"/>
  <c r="F30" i="98" a="1"/>
  <c r="F44" i="104" a="1"/>
  <c r="G17" i="103" a="1"/>
  <c r="F26" i="94" a="1"/>
  <c r="F40" i="100" a="1"/>
  <c r="G20" i="100" a="1"/>
  <c r="F35" i="95" a="1"/>
  <c r="E26" i="100" a="1"/>
  <c r="E36" i="103" a="1"/>
  <c r="G48" i="104" a="1"/>
  <c r="E21" i="96" a="1"/>
  <c r="G44" i="103" a="1"/>
  <c r="E43" i="103" a="1"/>
  <c r="E22" i="95" a="1"/>
  <c r="G26" i="103" a="1"/>
  <c r="F48" i="96" a="1"/>
  <c r="G35" i="95" a="1"/>
  <c r="F22" i="96" a="1"/>
  <c r="E35" i="96" a="1"/>
  <c r="F18" i="98" a="1"/>
  <c r="G34" i="98" a="1"/>
  <c r="F33" i="98" a="1"/>
  <c r="D16" i="104" a="1"/>
  <c r="E22" i="94" a="1"/>
  <c r="D49" i="100" a="1"/>
  <c r="F28" i="98" a="1"/>
  <c r="E45" i="100" a="1"/>
  <c r="G26" i="94" a="1"/>
  <c r="E50" i="94" a="1"/>
  <c r="D36" i="96" a="1"/>
  <c r="D17" i="94" a="1"/>
  <c r="D51" i="94" a="1"/>
  <c r="E32" i="94" a="1"/>
  <c r="E20" i="103" a="1"/>
  <c r="F44" i="100" a="1"/>
  <c r="D39" i="94" a="1"/>
  <c r="D37" i="103" a="1"/>
  <c r="F39" i="96" a="1"/>
  <c r="G20" i="95" a="1"/>
  <c r="E31" i="104" a="1"/>
  <c r="G43" i="96" a="1"/>
  <c r="G16" i="94" a="1"/>
  <c r="F44" i="96" a="1"/>
  <c r="F39" i="95" a="1"/>
  <c r="E32" i="98" a="1"/>
  <c r="F30" i="103" a="1"/>
  <c r="E20" i="94" a="1"/>
  <c r="F35" i="94" a="1"/>
  <c r="D31" i="95" a="1"/>
  <c r="E39" i="103" a="1"/>
  <c r="G24" i="94" a="1"/>
  <c r="F42" i="95" a="1"/>
  <c r="D32" i="104" a="1"/>
  <c r="E24" i="94" a="1"/>
  <c r="G29" i="103" a="1"/>
  <c r="G31" i="102" a="1"/>
  <c r="G18" i="100" a="1"/>
  <c r="G32" i="102" a="1"/>
  <c r="E34" i="100" a="1"/>
  <c r="G46" i="94" a="1"/>
  <c r="D51" i="95" a="1"/>
  <c r="G18" i="96" a="1"/>
  <c r="F22" i="102" a="1"/>
  <c r="D38" i="98" a="1"/>
  <c r="E40" i="100" a="1"/>
  <c r="G35" i="102" a="1"/>
  <c r="F18" i="94" a="1"/>
  <c r="D35" i="94" a="1"/>
  <c r="D29" i="94" a="1"/>
  <c r="E28" i="94" a="1"/>
  <c r="D38" i="94" a="1"/>
  <c r="D23" i="98" a="1"/>
  <c r="E51" i="102" a="1"/>
  <c r="F49" i="94" a="1"/>
  <c r="E50" i="104" a="1"/>
  <c r="D28" i="95" a="1"/>
  <c r="F41" i="98" a="1"/>
  <c r="F16" i="103" a="1"/>
  <c r="E26" i="96" a="1"/>
  <c r="E45" i="96" a="1"/>
  <c r="F33" i="103" a="1"/>
  <c r="F46" i="102" a="1"/>
  <c r="F35" i="100" a="1"/>
  <c r="E48" i="103" a="1"/>
  <c r="G49" i="96" a="1"/>
  <c r="D41" i="103" a="1"/>
  <c r="G18" i="95" a="1"/>
  <c r="G48" i="100" a="1"/>
  <c r="E37" i="100" a="1"/>
  <c r="G16" i="102" a="1"/>
  <c r="E24" i="98" a="1"/>
  <c r="F30" i="104" a="1"/>
  <c r="E38" i="100" a="1"/>
  <c r="G44" i="100" a="1"/>
  <c r="F31" i="100" a="1"/>
  <c r="E41" i="103" a="1"/>
  <c r="F19" i="104" a="1"/>
  <c r="G21" i="95" a="1"/>
  <c r="E32" i="104" a="1"/>
  <c r="D21" i="95" a="1"/>
  <c r="G29" i="96" a="1"/>
  <c r="G47" i="94" a="1"/>
  <c r="F45" i="94" a="1"/>
  <c r="E23" i="96" a="1"/>
  <c r="E22" i="104" a="1"/>
  <c r="D47" i="94" a="1"/>
  <c r="E47" i="103" a="1"/>
  <c r="F23" i="98" a="1"/>
  <c r="F37" i="102" a="1"/>
  <c r="G34" i="102" a="1"/>
  <c r="D29" i="95" a="1"/>
  <c r="E21" i="100" a="1"/>
  <c r="F33" i="96" a="1"/>
  <c r="D30" i="103" a="1"/>
  <c r="G29" i="100" a="1"/>
  <c r="E37" i="95" a="1"/>
  <c r="G43" i="94" a="1"/>
  <c r="E27" i="100" a="1"/>
  <c r="D51" i="102" a="1"/>
  <c r="D18" i="98" a="1"/>
  <c r="D26" i="94" a="1"/>
  <c r="D40" i="102" a="1"/>
  <c r="D44" i="94" a="1"/>
  <c r="F16" i="96" a="1"/>
  <c r="G47" i="100" a="1"/>
  <c r="E17" i="100" a="1"/>
  <c r="F38" i="98" a="1"/>
  <c r="G32" i="95" a="1"/>
  <c r="E20" i="98" a="1"/>
  <c r="E31" i="94" a="1"/>
  <c r="F23" i="103" a="1"/>
  <c r="G28" i="100" a="1"/>
  <c r="G20" i="94" a="1"/>
  <c r="E46" i="103" a="1"/>
  <c r="F49" i="100" a="1"/>
  <c r="D41" i="96" a="1"/>
  <c r="G49" i="94" a="1"/>
  <c r="F43" i="102" a="1"/>
  <c r="D16" i="95" a="1"/>
  <c r="G22" i="94" a="1"/>
  <c r="G41" i="95" a="1"/>
  <c r="G28" i="104" a="1"/>
  <c r="G21" i="100" a="1"/>
  <c r="F16" i="100" a="1"/>
  <c r="D34" i="102" a="1"/>
  <c r="D16" i="94" a="1"/>
  <c r="E30" i="94" a="1"/>
  <c r="F18" i="103" a="1"/>
  <c r="F50" i="95" a="1"/>
  <c r="F33" i="95" a="1"/>
  <c r="F35" i="96" a="1"/>
  <c r="D51" i="96" a="1"/>
  <c r="F28" i="100" a="1"/>
  <c r="D47" i="104" a="1"/>
  <c r="E43" i="96" a="1"/>
  <c r="E38" i="94" a="1"/>
  <c r="D49" i="102" a="1"/>
  <c r="G32" i="98" a="1"/>
  <c r="E18" i="94" a="1"/>
  <c r="D28" i="98" a="1"/>
  <c r="E25" i="100" a="1"/>
  <c r="D42" i="94" a="1"/>
  <c r="D32" i="94" a="1"/>
  <c r="D19" i="100" a="1"/>
  <c r="G46" i="103" a="1"/>
  <c r="E23" i="95" a="1"/>
  <c r="F41" i="96" a="1"/>
  <c r="G35" i="96" a="1"/>
  <c r="G41" i="94" a="1"/>
  <c r="D51" i="98" a="1"/>
  <c r="F17" i="98" a="1"/>
  <c r="D37" i="102" a="1"/>
  <c r="F39" i="104" a="1"/>
  <c r="E51" i="95" a="1"/>
  <c r="G24" i="104" a="1"/>
  <c r="E33" i="96" a="1"/>
  <c r="G41" i="100" a="1"/>
  <c r="D22" i="98" a="1"/>
  <c r="D48" i="96" a="1"/>
  <c r="D36" i="94" a="1"/>
  <c r="D30" i="98" a="1"/>
  <c r="D35" i="95" a="1"/>
  <c r="E44" i="96" a="1"/>
  <c r="G38" i="98" a="1"/>
  <c r="G27" i="100" a="1"/>
  <c r="D31" i="104" a="1"/>
  <c r="E21" i="95" a="1"/>
  <c r="G30" i="103" a="1"/>
  <c r="E20" i="104" a="1"/>
  <c r="G21" i="104" a="1"/>
  <c r="F22" i="94" a="1"/>
  <c r="G39" i="102" a="1"/>
  <c r="D48" i="102" a="1"/>
  <c r="F25" i="96" a="1"/>
  <c r="D26" i="102" a="1"/>
  <c r="G49" i="102" a="1"/>
  <c r="F51" i="98" a="1"/>
  <c r="D43" i="94" a="1"/>
  <c r="D26" i="104" a="1"/>
  <c r="G40" i="102" a="1"/>
  <c r="F17" i="94" a="1"/>
  <c r="E46" i="95" a="1"/>
  <c r="D32" i="98" a="1"/>
  <c r="D46" i="98" a="1"/>
  <c r="F49" i="104" a="1"/>
  <c r="F25" i="94" a="1"/>
  <c r="G29" i="94" a="1"/>
  <c r="D27" i="98" a="1"/>
  <c r="D32" i="95" a="1"/>
  <c r="F33" i="104" a="1"/>
  <c r="E38" i="95" a="1"/>
  <c r="D28" i="104" a="1"/>
  <c r="G51" i="96" a="1"/>
  <c r="G16" i="100" a="1"/>
  <c r="G46" i="95" a="1"/>
  <c r="D19" i="96" a="1"/>
  <c r="F45" i="103" a="1"/>
  <c r="G34" i="96" a="1"/>
  <c r="G19" i="95" a="1"/>
  <c r="G38" i="94" a="1"/>
  <c r="G43" i="100" a="1"/>
  <c r="F38" i="95" a="1"/>
  <c r="E34" i="95" a="1"/>
  <c r="F20" i="103" a="1"/>
  <c r="G42" i="100" a="1"/>
  <c r="E22" i="102" a="1"/>
  <c r="F25" i="100" a="1"/>
  <c r="E28" i="100" a="1"/>
  <c r="G42" i="95" a="1"/>
  <c r="G51" i="100" a="1"/>
  <c r="E24" i="95" a="1"/>
  <c r="E47" i="102" a="1"/>
  <c r="G20" i="98" a="1"/>
  <c r="G51" i="104" a="1"/>
  <c r="D34" i="94" a="1"/>
  <c r="G40" i="100" a="1"/>
  <c r="F38" i="96" a="1"/>
  <c r="G47" i="96" a="1"/>
  <c r="E34" i="98" a="1"/>
  <c r="G45" i="98" a="1"/>
  <c r="D45" i="100" a="1"/>
  <c r="F27" i="104" a="1"/>
  <c r="E16" i="104" a="1"/>
  <c r="F20" i="94" a="1"/>
  <c r="E18" i="96" a="1"/>
  <c r="F38" i="103" a="1"/>
  <c r="D41" i="100" a="1"/>
  <c r="E27" i="94" a="1"/>
  <c r="E26" i="98" a="1"/>
  <c r="E23" i="98" a="1"/>
  <c r="G44" i="98" a="1"/>
  <c r="G34" i="103" a="1"/>
  <c r="G31" i="100" a="1"/>
  <c r="F36" i="104" a="1"/>
  <c r="F26" i="103" a="1"/>
  <c r="D29" i="103" a="1"/>
  <c r="E23" i="104" a="1"/>
  <c r="D16" i="96" a="1"/>
  <c r="G17" i="100" a="1"/>
  <c r="D28" i="96" a="1"/>
  <c r="E21" i="103" a="1"/>
  <c r="F29" i="95" a="1"/>
  <c r="G43" i="103" a="1"/>
  <c r="D41" i="102" a="1"/>
  <c r="G25" i="94" a="1"/>
  <c r="D19" i="103" a="1"/>
  <c r="D42" i="100" a="1"/>
  <c r="D40" i="94" a="1"/>
  <c r="D26" i="100" a="1"/>
  <c r="F41" i="95" a="1"/>
  <c r="G33" i="100" a="1"/>
  <c r="F49" i="102" a="1"/>
  <c r="E30" i="95" a="1"/>
  <c r="D25" i="96" a="1"/>
  <c r="F32" i="98" a="1"/>
  <c r="F22" i="104" a="1"/>
  <c r="G28" i="103" a="1"/>
  <c r="G38" i="104" a="1"/>
  <c r="D30" i="102" a="1"/>
  <c r="D47" i="95" a="1"/>
  <c r="E51" i="104" a="1"/>
  <c r="G41" i="104" a="1"/>
  <c r="E19" i="96" a="1"/>
  <c r="G17" i="95" a="1"/>
  <c r="F47" i="104" a="1"/>
  <c r="F42" i="98" a="1"/>
  <c r="G30" i="94" a="1"/>
  <c r="G27" i="94" a="1"/>
  <c r="G45" i="103" a="1"/>
  <c r="F36" i="100" a="1"/>
  <c r="G18" i="103" a="1"/>
  <c r="D43" i="100" a="1"/>
  <c r="D21" i="102" a="1"/>
  <c r="G26" i="102" a="1"/>
  <c r="D45" i="102" a="1"/>
  <c r="G16" i="95" a="1"/>
  <c r="E49" i="102" a="1"/>
  <c r="D31" i="100" a="1"/>
  <c r="E50" i="95" a="1"/>
  <c r="D27" i="95" a="1"/>
  <c r="E24" i="100" a="1"/>
  <c r="F36" i="102" a="1"/>
  <c r="D17" i="100" a="1"/>
  <c r="E51" i="103" a="1"/>
  <c r="E49" i="100" a="1"/>
  <c r="E40" i="94" a="1"/>
  <c r="F27" i="102" a="1"/>
  <c r="E23" i="94" a="1"/>
  <c r="G27" i="96" a="1"/>
  <c r="D41" i="104" a="1"/>
  <c r="D45" i="94" a="1"/>
  <c r="E17" i="96" a="1"/>
  <c r="F40" i="103" a="1"/>
  <c r="E51" i="98" a="1"/>
  <c r="F16" i="102" a="1"/>
  <c r="G31" i="104" a="1"/>
  <c r="G24" i="102" a="1"/>
  <c r="E33" i="95" a="1"/>
  <c r="D16" i="100" a="1"/>
  <c r="D36" i="102" a="1"/>
  <c r="D32" i="100" a="1"/>
  <c r="F44" i="98" a="1"/>
  <c r="E26" i="102" a="1"/>
  <c r="E23" i="102" a="1"/>
  <c r="G40" i="94" a="1"/>
  <c r="E32" i="95" a="1"/>
  <c r="E35" i="95" a="1"/>
  <c r="E17" i="103" a="1"/>
  <c r="F50" i="100" a="1"/>
  <c r="E40" i="103" a="1"/>
  <c r="F45" i="102" a="1"/>
  <c r="E20" i="96" a="1"/>
  <c r="D49" i="98" a="1"/>
  <c r="D18" i="102" a="1"/>
  <c r="E47" i="96" a="1"/>
  <c r="F49" i="98" a="1"/>
  <c r="G25" i="104" a="1"/>
  <c r="E24" i="96" a="1"/>
  <c r="E36" i="95" a="1"/>
  <c r="G30" i="95" a="1"/>
  <c r="G50" i="103" a="1"/>
  <c r="E43" i="98" a="1"/>
  <c r="G27" i="104" a="1"/>
  <c r="F29" i="100" a="1"/>
  <c r="D45" i="98" a="1"/>
  <c r="G31" i="96" a="1"/>
  <c r="F48" i="100" a="1"/>
  <c r="E39" i="102" a="1"/>
  <c r="E38" i="102" a="1"/>
  <c r="E45" i="94" a="1"/>
  <c r="F43" i="98" a="1"/>
  <c r="E18" i="100" a="1"/>
  <c r="F20" i="95" a="1"/>
  <c r="D20" i="98" a="1"/>
  <c r="E29" i="104" a="1"/>
  <c r="F27" i="100" a="1"/>
  <c r="E18" i="102" a="1"/>
  <c r="G51" i="103" a="1"/>
  <c r="D32" i="102" a="1"/>
  <c r="D48" i="104" a="1"/>
  <c r="G29" i="95" a="1"/>
  <c r="D40" i="104" a="1"/>
  <c r="D36" i="98" a="1"/>
  <c r="F25" i="98" a="1"/>
  <c r="D17" i="95" a="1"/>
  <c r="G51" i="98" a="1"/>
  <c r="E45" i="98" a="1"/>
  <c r="E33" i="100" a="1"/>
  <c r="D46" i="100" a="1"/>
  <c r="D35" i="102" a="1"/>
  <c r="D21" i="94" a="1"/>
  <c r="G33" i="94" a="1"/>
  <c r="D37" i="98" a="1"/>
  <c r="D18" i="103" a="1"/>
  <c r="G45" i="96" a="1"/>
  <c r="E31" i="98" a="1"/>
  <c r="G43" i="102" a="1"/>
  <c r="E37" i="96" a="1"/>
  <c r="D20" i="96" a="1"/>
  <c r="E41" i="95" a="1"/>
  <c r="G28" i="102" a="1"/>
  <c r="G27" i="103" a="1"/>
  <c r="D38" i="104" a="1"/>
  <c r="E21" i="94" a="1"/>
  <c r="E26" i="103" a="1"/>
  <c r="F33" i="102" a="1"/>
  <c r="F41" i="102" a="1"/>
  <c r="F42" i="103" a="1"/>
  <c r="F18" i="102" a="1"/>
  <c r="E31" i="103" a="1"/>
  <c r="F22" i="103" a="1"/>
  <c r="D17" i="103" a="1"/>
  <c r="E27" i="103" a="1"/>
  <c r="G43" i="98" a="1"/>
  <c r="F51" i="94" a="1"/>
  <c r="G19" i="104" a="1"/>
  <c r="G20" i="96" a="1"/>
  <c r="F43" i="95" a="1"/>
  <c r="D26" i="103" a="1"/>
  <c r="G35" i="103" a="1"/>
  <c r="D21" i="100" a="1"/>
  <c r="E36" i="102" a="1"/>
  <c r="E43" i="100" a="1"/>
  <c r="G42" i="102" a="1"/>
  <c r="E38" i="104" a="1"/>
  <c r="F25" i="103" a="1"/>
  <c r="E37" i="104" a="1"/>
  <c r="D22" i="103" a="1"/>
  <c r="E22" i="100" a="1"/>
  <c r="D27" i="102" a="1"/>
  <c r="G44" i="102" a="1"/>
  <c r="F51" i="104" a="1"/>
  <c r="E36" i="100" a="1"/>
  <c r="E35" i="103" a="1"/>
  <c r="G33" i="95" a="1"/>
  <c r="D34" i="98" a="1"/>
  <c r="G26" i="100" a="1"/>
  <c r="F18" i="100" a="1"/>
  <c r="E48" i="98" a="1"/>
  <c r="E19" i="102" a="1"/>
  <c r="D46" i="94" a="1"/>
  <c r="D40" i="103" a="1"/>
  <c r="F17" i="100" a="1"/>
  <c r="F40" i="96" a="1"/>
  <c r="F48" i="95" a="1"/>
  <c r="G39" i="104" a="1"/>
  <c r="E44" i="103" a="1"/>
  <c r="E46" i="96" a="1"/>
  <c r="F38" i="94" a="1"/>
  <c r="E16" i="95" a="1"/>
  <c r="E34" i="103" a="1"/>
  <c r="E18" i="95" a="1"/>
  <c r="F29" i="96" a="1"/>
  <c r="F26" i="100" a="1"/>
  <c r="E24" i="103" a="1"/>
  <c r="G27" i="95" a="1"/>
  <c r="D47" i="96" a="1"/>
  <c r="F18" i="95" a="1"/>
  <c r="F21" i="100" a="1"/>
  <c r="E19" i="98" a="1"/>
  <c r="D38" i="100" a="1"/>
  <c r="E50" i="96" a="1"/>
  <c r="F42" i="96" a="1"/>
  <c r="F36" i="98" a="1"/>
  <c r="F17" i="104" a="1"/>
  <c r="G41" i="98" a="1"/>
  <c r="G50" i="102" a="1"/>
  <c r="D22" i="96" a="1"/>
  <c r="G31" i="98" a="1"/>
  <c r="D33" i="98" a="1"/>
  <c r="D44" i="96" a="1"/>
  <c r="E23" i="100" a="1"/>
  <c r="D42" i="104" a="1"/>
  <c r="G32" i="100" a="1"/>
  <c r="F27" i="103" a="1"/>
  <c r="F24" i="103" a="1"/>
  <c r="G32" i="103" a="1"/>
  <c r="D33" i="100" a="1"/>
  <c r="D42" i="98" a="1"/>
  <c r="F47" i="94" a="1"/>
  <c r="E29" i="103" a="1"/>
  <c r="F18" i="104" a="1"/>
  <c r="F30" i="96" a="1"/>
  <c r="D18" i="100" a="1"/>
  <c r="D21" i="103" a="1"/>
  <c r="G37" i="104" a="1"/>
  <c r="D40" i="96" a="1"/>
  <c r="G21" i="103" a="1"/>
  <c r="G19" i="100" a="1"/>
  <c r="F28" i="102" a="1"/>
  <c r="G50" i="98" a="1"/>
  <c r="D34" i="103" a="1"/>
  <c r="F20" i="102" a="1"/>
  <c r="G50" i="94" a="1"/>
  <c r="F45" i="98" a="1"/>
  <c r="D16" i="98" a="1"/>
  <c r="F29" i="102" a="1"/>
  <c r="E16" i="100" a="1"/>
  <c r="D50" i="96" a="1"/>
  <c r="E46" i="98" a="1"/>
  <c r="D26" i="98" a="1"/>
  <c r="F35" i="102" a="1"/>
  <c r="F50" i="104" a="1"/>
  <c r="G49" i="104" a="1"/>
  <c r="G29" i="98" a="1"/>
  <c r="D19" i="94" a="1"/>
  <c r="G22" i="104" a="1"/>
  <c r="D37" i="94" a="1"/>
  <c r="F34" i="95" a="1"/>
  <c r="G35" i="98" a="1"/>
  <c r="G46" i="98" a="1"/>
  <c r="F41" i="104" a="1"/>
  <c r="G45" i="100" a="1"/>
  <c r="E40" i="96" a="1"/>
  <c r="E30" i="98" a="1"/>
  <c r="D44" i="104" a="1"/>
  <c r="F21" i="94" a="1"/>
  <c r="D51" i="100" a="1"/>
  <c r="D31" i="98" a="1"/>
  <c r="G38" i="96" a="1"/>
  <c r="E39" i="95" a="1"/>
  <c r="F31" i="96" a="1"/>
  <c r="E33" i="104" a="1"/>
  <c r="F17" i="95" a="1"/>
  <c r="D27" i="100" a="1"/>
  <c r="D19" i="98" a="1"/>
  <c r="D20" i="94" a="1"/>
  <c r="F38" i="100" a="1"/>
  <c r="E35" i="94" a="1"/>
  <c r="G51" i="94" a="1"/>
  <c r="F30" i="100" a="1"/>
  <c r="E42" i="102" a="1"/>
  <c r="G18" i="94" a="1"/>
  <c r="E33" i="102" a="1"/>
  <c r="F44" i="94" a="1"/>
  <c r="G34" i="100" a="1"/>
  <c r="D42" i="96" a="1"/>
  <c r="D25" i="102" a="1"/>
  <c r="G23" i="95" a="1"/>
  <c r="F29" i="98" a="1"/>
  <c r="E31" i="102" a="1"/>
  <c r="F23" i="94" a="1"/>
  <c r="E26" i="95" a="1"/>
  <c r="D22" i="102" a="1"/>
  <c r="D30" i="100" a="1"/>
  <c r="G37" i="95" a="1"/>
  <c r="G25" i="102" a="1"/>
  <c r="G50" i="104" a="1"/>
  <c r="E43" i="95" a="1"/>
  <c r="G43" i="104" a="1"/>
  <c r="G45" i="104" a="1"/>
  <c r="G44" i="104" a="1"/>
  <c r="E16" i="96" a="1"/>
  <c r="F23" i="95" a="1"/>
  <c r="D50" i="98" a="1"/>
  <c r="G24" i="98" a="1"/>
  <c r="G34" i="94" a="1"/>
  <c r="D23" i="96" a="1"/>
  <c r="F44" i="102" a="1"/>
  <c r="D48" i="100" a="1"/>
  <c r="F46" i="95" a="1"/>
  <c r="E39" i="94" a="1"/>
  <c r="F50" i="98" a="1"/>
  <c r="F34" i="96" a="1"/>
  <c r="F25" i="104" a="1"/>
  <c r="D20" i="95" a="1"/>
  <c r="G19" i="94" a="1"/>
  <c r="G20" i="102" a="1"/>
  <c r="G26" i="104" a="1"/>
  <c r="D41" i="94" a="1"/>
  <c r="D24" i="103" a="1"/>
  <c r="E27" i="95" a="1"/>
  <c r="E25" i="104" a="1"/>
  <c r="G25" i="95" a="1"/>
  <c r="E25" i="103" a="1"/>
  <c r="E47" i="104" a="1"/>
  <c r="G36" i="96" a="1"/>
  <c r="F20" i="96" a="1"/>
  <c r="D23" i="102" a="1"/>
  <c r="G32" i="94" a="1"/>
  <c r="F50" i="103" a="1"/>
  <c r="G26" i="98" a="1"/>
  <c r="E50" i="103" a="1"/>
  <c r="F20" i="100" a="1"/>
  <c r="E34" i="94" a="1"/>
  <c r="F24" i="96" a="1"/>
  <c r="G22" i="103" a="1"/>
  <c r="G23" i="104" a="1"/>
  <c r="E33" i="94" a="1"/>
  <c r="E38" i="98" a="1"/>
  <c r="D21" i="104" a="1"/>
  <c r="G33" i="103" a="1"/>
  <c r="E44" i="104" a="1"/>
  <c r="G50" i="100" a="1"/>
  <c r="G41" i="103" a="1"/>
  <c r="G45" i="94" a="1"/>
  <c r="G23" i="100" a="1"/>
  <c r="E30" i="102" a="1"/>
  <c r="F34" i="102" a="1"/>
  <c r="F51" i="96" a="1"/>
  <c r="D27" i="96" a="1"/>
  <c r="D49" i="104" a="1"/>
  <c r="D31" i="102" a="1"/>
  <c r="E49" i="103" a="1"/>
  <c r="G23" i="94" a="1"/>
  <c r="G36" i="94" a="1"/>
  <c r="F17" i="96" a="1"/>
  <c r="D39" i="100" a="1"/>
  <c r="D37" i="100" a="1"/>
  <c r="E17" i="102" a="1"/>
  <c r="G46" i="104" a="1"/>
  <c r="F35" i="98" a="1"/>
  <c r="D35" i="100" a="1"/>
  <c r="E44" i="94" a="1"/>
  <c r="G51" i="102" a="1"/>
  <c r="F39" i="102" a="1"/>
  <c r="G47" i="102" a="1"/>
  <c r="D17" i="98" a="1"/>
  <c r="F21" i="95" a="1"/>
  <c r="E42" i="96" a="1"/>
  <c r="F34" i="98" a="1"/>
  <c r="D43" i="98" a="1"/>
  <c r="E42" i="98" a="1"/>
  <c r="E19" i="95" a="1"/>
  <c r="F19" i="100" a="1"/>
  <c r="E45" i="103" a="1"/>
  <c r="D39" i="103" a="1"/>
  <c r="F42" i="102" a="1"/>
  <c r="G23" i="98" a="1"/>
  <c r="E43" i="94" a="1"/>
  <c r="E40" i="102" a="1"/>
  <c r="D39" i="95" a="1"/>
  <c r="G37" i="98" a="1"/>
  <c r="F41" i="94" a="1"/>
  <c r="F47" i="103" a="1"/>
  <c r="F46" i="100" a="1"/>
  <c r="F50" i="96" a="1"/>
  <c r="G25" i="98" a="1"/>
  <c r="E47" i="100" a="1"/>
  <c r="G45" i="102" a="1"/>
  <c r="G17" i="94" a="1"/>
  <c r="F17" i="102" a="1"/>
  <c r="F28" i="94" a="1"/>
  <c r="D43" i="103" a="1"/>
  <c r="F34" i="104" a="1"/>
  <c r="G50" i="95" a="1"/>
  <c r="G39" i="100" a="1"/>
  <c r="E40" i="104" a="1"/>
  <c r="E47" i="95" a="1"/>
  <c r="G33" i="96" a="1"/>
  <c r="E38" i="96" a="1"/>
  <c r="E27" i="102" a="1"/>
  <c r="G49" i="103" a="1"/>
  <c r="D50" i="100" a="1"/>
  <c r="D25" i="98" a="1"/>
  <c r="E47" i="94" a="1"/>
  <c r="D50" i="104" a="1"/>
  <c r="G29" i="104" a="1"/>
  <c r="E29" i="96" a="1"/>
  <c r="E44" i="100" a="1"/>
  <c r="F44" i="95" a="1"/>
  <c r="G28" i="95" a="1"/>
  <c r="D23" i="100" a="1"/>
  <c r="G16" i="98" a="1"/>
  <c r="G30" i="100" a="1"/>
  <c r="F27" i="96" a="1"/>
  <c r="G21" i="94" a="1"/>
  <c r="G48" i="96" a="1"/>
  <c r="F19" i="102" a="1"/>
  <c r="G37" i="100" a="1"/>
  <c r="E19" i="94" a="1"/>
  <c r="F26" i="96" a="1"/>
  <c r="F45" i="96" a="1"/>
  <c r="D29" i="100" a="1"/>
  <c r="F31" i="103" a="1"/>
  <c r="E36" i="104" a="1"/>
  <c r="G42" i="103" a="1"/>
  <c r="D18" i="94" a="1"/>
  <c r="E42" i="104" a="1"/>
  <c r="E20" i="100" a="1"/>
  <c r="F21" i="104" a="1"/>
  <c r="G43" i="95" a="1"/>
  <c r="D28" i="103" a="1"/>
  <c r="E41" i="98" a="1"/>
  <c r="E35" i="104" a="1"/>
  <c r="E29" i="100" a="1"/>
  <c r="F46" i="96" a="1"/>
  <c r="D49" i="103" a="1"/>
  <c r="F46" i="104" a="1"/>
  <c r="E34" i="102" a="1"/>
  <c r="D30" i="94" a="1"/>
  <c r="D27" i="104" a="1"/>
  <c r="D24" i="96" a="1"/>
  <c r="F26" i="98" a="1"/>
  <c r="F30" i="102" a="1"/>
  <c r="D47" i="98" a="1"/>
  <c r="D31" i="96" a="1"/>
  <c r="D34" i="100" a="1"/>
  <c r="F43" i="103" a="1"/>
  <c r="G33" i="102" a="1"/>
  <c r="G40" i="104" a="1"/>
  <c r="D48" i="95" a="1"/>
  <c r="D35" i="104" a="1"/>
  <c r="E50" i="98" a="1"/>
  <c r="E24" i="102" a="1"/>
  <c r="F39" i="94" a="1"/>
  <c r="F23" i="102" a="1"/>
  <c r="D39" i="104" a="1"/>
  <c r="F31" i="98" a="1"/>
  <c r="D27" i="103" a="1"/>
  <c r="G18" i="104" a="1"/>
  <c r="F51" i="100" a="1"/>
  <c r="G16" i="96" a="1"/>
  <c r="F32" i="102" a="1"/>
  <c r="F44" i="103" a="1"/>
  <c r="D19" i="104" a="1"/>
  <c r="G40" i="98" a="1"/>
  <c r="G31" i="94" a="1"/>
  <c r="E26" i="94" a="1"/>
  <c r="D50" i="95" a="1"/>
  <c r="F18" i="96" a="1"/>
  <c r="E28" i="96" a="1"/>
  <c r="D20" i="102" a="1"/>
  <c r="F21" i="96" a="1"/>
  <c r="E49" i="104" a="1"/>
  <c r="D40" i="100" a="1"/>
  <c r="D50" i="102" a="1"/>
  <c r="G46" i="96" a="1"/>
  <c r="F47" i="96" a="1"/>
  <c r="G28" i="98" a="1"/>
  <c r="F34" i="103" a="1"/>
  <c r="F37" i="98" a="1"/>
  <c r="E18" i="103" a="1"/>
  <c r="E22" i="98" a="1"/>
  <c r="E47" i="98" a="1"/>
  <c r="D30" i="96" a="1"/>
  <c r="F37" i="95" a="1"/>
  <c r="F40" i="104" a="1"/>
  <c r="F24" i="95" a="1"/>
  <c r="D38" i="95" a="1"/>
  <c r="D23" i="94" a="1"/>
  <c r="G48" i="95" a="1"/>
  <c r="D47" i="100" a="1"/>
  <c r="G17" i="96" a="1"/>
  <c r="G30" i="96" a="1"/>
  <c r="E28" i="104" a="1"/>
  <c r="G33" i="98" a="1"/>
  <c r="G17" i="98" a="1"/>
  <c r="F47" i="98" a="1"/>
  <c r="D21" i="96" a="1"/>
  <c r="G50" i="96" a="1"/>
  <c r="G18" i="102" a="1"/>
  <c r="E25" i="102" a="1"/>
  <c r="E17" i="104" a="1"/>
  <c r="G37" i="102" a="1"/>
  <c r="F32" i="104" a="1"/>
  <c r="E28" i="103" a="1"/>
  <c r="F31" i="104" a="1"/>
  <c r="G24" i="96" a="1"/>
  <c r="E30" i="104" a="1"/>
  <c r="E29" i="102" a="1"/>
  <c r="D26" i="95" a="1"/>
  <c r="E25" i="95" a="1"/>
  <c r="E41" i="94" a="1"/>
  <c r="G23" i="103" a="1"/>
  <c r="D30" i="104" a="1"/>
  <c r="G24" i="103" a="1"/>
  <c r="E19" i="100" a="1"/>
  <c r="G36" i="95" a="1"/>
  <c r="F46" i="103" a="1"/>
  <c r="F37" i="94" a="1"/>
  <c r="E29" i="95" a="1"/>
  <c r="E37" i="94" a="1"/>
  <c r="D51" i="104" a="1"/>
  <c r="G40" i="95" a="1"/>
  <c r="D35" i="103" a="1"/>
  <c r="F19" i="96" a="1"/>
  <c r="E39" i="98" a="1"/>
  <c r="F38" i="102" a="1"/>
  <c r="D24" i="95" a="1"/>
  <c r="E41" i="96" a="1"/>
  <c r="D35" i="96" a="1"/>
  <c r="E48" i="102" a="1"/>
  <c r="G36" i="104" a="1"/>
  <c r="D41" i="98" a="1"/>
  <c r="F34" i="100" a="1"/>
  <c r="F24" i="98" a="1"/>
  <c r="G39" i="98" a="1"/>
  <c r="D47" i="103" a="1"/>
  <c r="D19" i="95" a="1"/>
  <c r="F49" i="95" a="1"/>
  <c r="D17" i="96" a="1"/>
  <c r="G41" i="96" a="1"/>
  <c r="E40" i="95" a="1"/>
  <c r="G48" i="94" a="1"/>
  <c r="G18" i="98" a="1"/>
  <c r="F40" i="102" a="1"/>
  <c r="E16" i="103" a="1"/>
  <c r="D42" i="103" a="1"/>
  <c r="E41" i="104" a="1"/>
  <c r="D47" i="102" a="1"/>
  <c r="F28" i="95" a="1"/>
  <c r="D26" i="96" a="1"/>
  <c r="D40" i="98" a="1"/>
  <c r="G33" i="104" a="1"/>
  <c r="E21" i="98" a="1"/>
  <c r="G27" i="102" a="1"/>
  <c r="G45" i="95" a="1"/>
  <c r="E32" i="96" a="1"/>
  <c r="E42" i="95" a="1"/>
  <c r="G23" i="96" a="1"/>
  <c r="D44" i="100" a="1"/>
  <c r="G30" i="102" a="1"/>
  <c r="F19" i="103" a="1"/>
  <c r="F32" i="103" a="1"/>
  <c r="F19" i="95" a="1"/>
  <c r="E39" i="104" a="1"/>
  <c r="G19" i="102" a="1"/>
  <c r="G46" i="100" a="1"/>
  <c r="F29" i="104" a="1"/>
  <c r="G44" i="94" a="1"/>
  <c r="F45" i="100" a="1"/>
  <c r="F16" i="98" a="1"/>
  <c r="D37" i="95" a="1"/>
  <c r="E48" i="94" a="1"/>
  <c r="D22" i="104" a="1"/>
  <c r="G35" i="94" a="1"/>
  <c r="G32" i="96" a="1"/>
  <c r="D18" i="104" a="1"/>
  <c r="F21" i="98" a="1"/>
  <c r="D36" i="103" a="1"/>
  <c r="D29" i="96" a="1"/>
  <c r="D20" i="104" a="1"/>
  <c r="G22" i="102" a="1"/>
  <c r="E41" i="100" a="1"/>
  <c r="E44" i="95" a="1"/>
  <c r="E49" i="95" a="1"/>
  <c r="E44" i="102" a="1"/>
  <c r="D39" i="98" a="1"/>
  <c r="G24" i="100" a="1"/>
  <c r="D45" i="104" a="1"/>
  <c r="E19" i="103" a="1"/>
  <c r="G25" i="103" a="1"/>
  <c r="G27" i="98" a="1"/>
  <c r="G30" i="98" a="1"/>
  <c r="G22" i="96" a="1"/>
  <c r="G28" i="96" a="1"/>
  <c r="D24" i="102" a="1"/>
  <c r="F42" i="104" a="1"/>
  <c r="F46" i="98" a="1"/>
  <c r="E35" i="100" a="1"/>
  <c r="E27" i="98" a="1"/>
  <c r="D28" i="102" a="1"/>
  <c r="F32" i="100" a="1"/>
  <c r="E42" i="94" a="1"/>
  <c r="D49" i="94" a="1"/>
  <c r="E46" i="100" a="1"/>
  <c r="F36" i="96" a="1"/>
  <c r="E27" i="104" a="1"/>
  <c r="G20" i="104" a="1"/>
  <c r="G31" i="95" a="1"/>
  <c r="E25" i="98" a="1"/>
  <c r="G35" i="100" a="1"/>
  <c r="E46" i="94" a="1"/>
  <c r="G37" i="103" a="1"/>
  <c r="D46" i="104" a="1"/>
  <c r="F41" i="100" a="1"/>
  <c r="D43" i="102" a="1"/>
  <c r="F20" i="104" a="1"/>
  <c r="D23" i="95" a="1"/>
  <c r="D25" i="95" a="1"/>
  <c r="D34" i="96" a="1"/>
  <c r="F21" i="103" a="1"/>
  <c r="E16" i="102" a="1"/>
  <c r="G34" i="104" a="1"/>
  <c r="E30" i="96" a="1"/>
  <c r="D29" i="102" a="1"/>
  <c r="E30" i="100" a="1"/>
  <c r="D33" i="104" a="1"/>
  <c r="G22" i="100" a="1"/>
  <c r="E39" i="100" a="1"/>
  <c r="D31" i="103" a="1"/>
  <c r="E16" i="98" a="1"/>
  <c r="F41" i="103" a="1"/>
  <c r="D31" i="94" a="1"/>
  <c r="D20" i="103" a="1"/>
  <c r="G28" i="94" a="1"/>
  <c r="E31" i="95" a="1"/>
  <c r="F45" i="95" a="1"/>
  <c r="D16" i="102" a="1"/>
  <c r="G44" i="96" a="1"/>
  <c r="F16" i="94" a="1"/>
  <c r="G36" i="103" a="1"/>
  <c r="G49" i="100" a="1"/>
  <c r="G19" i="103" a="1"/>
  <c r="G37" i="96" a="1"/>
  <c r="F20" i="98" a="1"/>
  <c r="F33" i="100" a="1"/>
  <c r="D21" i="98" a="1"/>
  <c r="G22" i="98" a="1"/>
  <c r="E42" i="103" a="1"/>
  <c r="G49" i="95" a="1"/>
  <c r="D45" i="103" a="1"/>
  <c r="F43" i="94" a="1"/>
  <c r="E46" i="102" a="1"/>
  <c r="D23" i="103" a="1"/>
  <c r="D17" i="104" a="1"/>
  <c r="E18" i="104" a="1"/>
  <c r="F37" i="103" a="1"/>
  <c r="D33" i="103" a="1"/>
  <c r="F32" i="96" a="1"/>
  <c r="D25" i="104" a="1"/>
  <c r="F24" i="104" a="1"/>
  <c r="D44" i="98" a="1"/>
  <c r="D45" i="96" a="1"/>
  <c r="E35" i="102" a="1"/>
  <c r="E21" i="104" a="1"/>
  <c r="E33" i="98" a="1"/>
  <c r="E37" i="98" a="1"/>
  <c r="F43" i="96" a="1"/>
  <c r="D25" i="94" a="1"/>
  <c r="G51" i="95" a="1"/>
  <c r="E31" i="100" a="1"/>
  <c r="D19" i="102" a="1"/>
  <c r="E45" i="104" a="1"/>
  <c r="G36" i="98" a="1"/>
  <c r="D37" i="104" a="1"/>
  <c r="E36" i="98" a="1"/>
  <c r="F19" i="98" a="1"/>
  <c r="F22" i="98" a="1"/>
  <c r="D29" i="104" a="1"/>
  <c r="E36" i="94" a="1"/>
  <c r="D36" i="95" a="1"/>
  <c r="D39" i="96" a="1"/>
  <c r="G38" i="103" a="1"/>
  <c r="D25" i="100" a="1"/>
  <c r="E29" i="98" a="1"/>
  <c r="G40" i="103" a="1"/>
  <c r="F42" i="94" a="1"/>
  <c r="F28" i="96" a="1"/>
  <c r="D20" i="100" a="1"/>
  <c r="G47" i="95" a="1"/>
  <c r="F39" i="100" a="1"/>
  <c r="E45" i="102" a="1"/>
  <c r="F33" i="94" a="1"/>
  <c r="F34" i="94" a="1"/>
  <c r="E18" i="98" a="1"/>
  <c r="D35" i="98" a="1"/>
  <c r="G39" i="103" a="1"/>
  <c r="E25" i="94" a="1"/>
  <c r="F23" i="100" a="1"/>
  <c r="D48" i="94" a="1"/>
  <c r="E19" i="104" a="1"/>
  <c r="G42" i="96" a="1"/>
  <c r="E44" i="98" a="1"/>
  <c r="G24" i="95" a="1"/>
  <c r="F27" i="94" a="1"/>
  <c r="F40" i="95" a="1"/>
  <c r="F51" i="95" a="1"/>
  <c r="F16" i="95" a="1"/>
  <c r="E33" i="103" a="1"/>
  <c r="G25" i="96" a="1"/>
  <c r="F37" i="100" a="1"/>
  <c r="E26" i="104" a="1"/>
  <c r="G39" i="94" a="1"/>
  <c r="G38" i="100" a="1"/>
  <c r="E17" i="94" a="1"/>
  <c r="F28" i="103" a="1"/>
  <c r="G46" i="102" a="1"/>
  <c r="G41" i="102" a="1"/>
  <c r="E42" i="100" a="1"/>
  <c r="E27" i="96" a="1"/>
  <c r="E20" i="95" a="1"/>
  <c r="G42" i="98" a="1"/>
  <c r="G19" i="99" a="1"/>
  <c r="G42" i="61" a="1"/>
  <c r="F46" i="61" a="1"/>
  <c r="D47" i="61" a="1"/>
  <c r="F45" i="61" a="1"/>
  <c r="G48" i="61" a="1"/>
  <c r="D44" i="99" a="1"/>
  <c r="G49" i="99" a="1"/>
  <c r="D48" i="61" a="1"/>
  <c r="F40" i="61" a="1"/>
  <c r="E25" i="99" a="1"/>
  <c r="G45" i="61" a="1"/>
  <c r="F49" i="99" a="1"/>
  <c r="G34" i="99" a="1"/>
  <c r="E35" i="61" a="1"/>
  <c r="D32" i="61" a="1"/>
  <c r="G43" i="99" a="1"/>
  <c r="F21" i="99" a="1"/>
  <c r="D42" i="61" a="1"/>
  <c r="F24" i="99" a="1"/>
  <c r="E51" i="61" a="1"/>
  <c r="D40" i="61" a="1"/>
  <c r="D27" i="61" a="1"/>
  <c r="D48" i="99" a="1"/>
  <c r="E30" i="99" a="1"/>
  <c r="G38" i="61" a="1"/>
  <c r="D20" i="61" a="1"/>
  <c r="E18" i="61" a="1"/>
  <c r="G31" i="61" a="1"/>
  <c r="E30" i="61" a="1"/>
  <c r="E39" i="61" a="1"/>
  <c r="D17" i="61" a="1"/>
  <c r="G30" i="61" a="1"/>
  <c r="G45" i="99" a="1"/>
  <c r="E36" i="61" a="1"/>
  <c r="G37" i="61" a="1"/>
  <c r="D18" i="61" a="1"/>
  <c r="E20" i="61" a="1"/>
  <c r="E24" i="61" a="1"/>
  <c r="E37" i="99" a="1"/>
  <c r="G21" i="61" a="1"/>
  <c r="F36" i="99" a="1"/>
  <c r="F28" i="61" a="1"/>
  <c r="G31" i="99" a="1"/>
  <c r="E43" i="99" a="1"/>
  <c r="E47" i="99" a="1"/>
  <c r="G16" i="99" a="1"/>
  <c r="F18" i="99" a="1"/>
  <c r="G40" i="61" a="1"/>
  <c r="F18" i="61" a="1"/>
  <c r="E16" i="61" a="1"/>
  <c r="G42" i="99" a="1"/>
  <c r="F17" i="61" a="1"/>
  <c r="G24" i="99" a="1"/>
  <c r="G18" i="61" a="1"/>
  <c r="F16" i="61" a="1"/>
  <c r="F32" i="99" a="1"/>
  <c r="F32" i="61" a="1"/>
  <c r="E27" i="99" a="1"/>
  <c r="G22" i="61" a="1"/>
  <c r="G23" i="99" a="1"/>
  <c r="F43" i="61" a="1"/>
  <c r="G46" i="61" a="1"/>
  <c r="F20" i="99" a="1"/>
  <c r="G50" i="99" a="1"/>
  <c r="E46" i="61" a="1"/>
  <c r="F21" i="61" a="1"/>
  <c r="E19" i="99" a="1"/>
  <c r="G25" i="99" a="1"/>
  <c r="D26" i="61" a="1"/>
  <c r="G35" i="61" a="1"/>
  <c r="E36" i="99" a="1"/>
  <c r="D35" i="99" a="1"/>
  <c r="E44" i="99" a="1"/>
  <c r="E33" i="99" a="1"/>
  <c r="E37" i="61" a="1"/>
  <c r="D25" i="61" a="1"/>
  <c r="G17" i="61" a="1"/>
  <c r="E23" i="61" a="1"/>
  <c r="F50" i="61" a="1"/>
  <c r="D37" i="61" a="1"/>
  <c r="F17" i="99" a="1"/>
  <c r="G25" i="61" a="1"/>
  <c r="F45" i="99" a="1"/>
  <c r="F42" i="99" a="1"/>
  <c r="E45" i="99" a="1"/>
  <c r="G28" i="99" a="1"/>
  <c r="D36" i="99" a="1"/>
  <c r="E21" i="61" a="1"/>
  <c r="E41" i="99" a="1"/>
  <c r="F35" i="99" a="1"/>
  <c r="F49" i="61" a="1"/>
  <c r="E22" i="99" a="1"/>
  <c r="D16" i="61" a="1"/>
  <c r="G27" i="99" a="1"/>
  <c r="E24" i="99" a="1"/>
  <c r="G22" i="99" a="1"/>
  <c r="D44" i="61" a="1"/>
  <c r="F29" i="99" a="1"/>
  <c r="F26" i="61" a="1"/>
  <c r="F19" i="61" a="1"/>
  <c r="G33" i="99" a="1"/>
  <c r="F36" i="61" a="1"/>
  <c r="E32" i="99" a="1"/>
  <c r="D40" i="99" a="1"/>
  <c r="G26" i="61" a="1"/>
  <c r="D33" i="61" a="1"/>
  <c r="D51" i="61" a="1"/>
  <c r="F51" i="61" a="1"/>
  <c r="E42" i="99" a="1"/>
  <c r="E20" i="99" a="1"/>
  <c r="F44" i="61" a="1"/>
  <c r="D22" i="99" a="1"/>
  <c r="D45" i="99" a="1"/>
  <c r="E51" i="99" a="1"/>
  <c r="E17" i="61" a="1"/>
  <c r="D28" i="61" a="1"/>
  <c r="E49" i="61" a="1"/>
  <c r="F23" i="61" a="1"/>
  <c r="G39" i="61" a="1"/>
  <c r="D19" i="99" a="1"/>
  <c r="D26" i="99" a="1"/>
  <c r="D18" i="99" a="1"/>
  <c r="E28" i="99" a="1"/>
  <c r="G51" i="99" a="1"/>
  <c r="G36" i="61" a="1"/>
  <c r="E50" i="61" a="1"/>
  <c r="D19" i="61" a="1"/>
  <c r="F39" i="61" a="1"/>
  <c r="G29" i="99" a="1"/>
  <c r="D49" i="61" a="1"/>
  <c r="D17" i="99" a="1"/>
  <c r="F40" i="99" a="1"/>
  <c r="D31" i="61" a="1"/>
  <c r="F35" i="61" a="1"/>
  <c r="E28" i="61" a="1"/>
  <c r="G18" i="99" a="1"/>
  <c r="E38" i="99" a="1"/>
  <c r="F23" i="99" a="1"/>
  <c r="F25" i="99" a="1"/>
  <c r="D25" i="99" a="1"/>
  <c r="E22" i="61" a="1"/>
  <c r="G19" i="61" a="1"/>
  <c r="D32" i="99" a="1"/>
  <c r="F44" i="99" a="1"/>
  <c r="F48" i="61" a="1"/>
  <c r="D23" i="61" a="1"/>
  <c r="D30" i="99" a="1"/>
  <c r="D38" i="61" a="1"/>
  <c r="D41" i="99" a="1"/>
  <c r="E16" i="99" a="1"/>
  <c r="F16" i="99" a="1"/>
  <c r="D39" i="99" a="1"/>
  <c r="E18" i="99" a="1"/>
  <c r="D29" i="99" a="1"/>
  <c r="G39" i="99" a="1"/>
  <c r="D42" i="99" a="1"/>
  <c r="G36" i="99" a="1"/>
  <c r="G47" i="99" a="1"/>
  <c r="F37" i="99" a="1"/>
  <c r="E50" i="99" a="1"/>
  <c r="D23" i="99" a="1"/>
  <c r="D21" i="61" a="1"/>
  <c r="G29" i="61" a="1"/>
  <c r="E31" i="61" a="1"/>
  <c r="E45" i="61" a="1"/>
  <c r="D31" i="99" a="1"/>
  <c r="D27" i="99" a="1"/>
  <c r="E49" i="99" a="1"/>
  <c r="D20" i="99" a="1"/>
  <c r="E17" i="99" a="1"/>
  <c r="G27" i="61" a="1"/>
  <c r="D21" i="99" a="1"/>
  <c r="G28" i="61" a="1"/>
  <c r="E23" i="99" a="1"/>
  <c r="E26" i="99" a="1"/>
  <c r="F26" i="99" a="1"/>
  <c r="F31" i="61" a="1"/>
  <c r="F47" i="61" a="1"/>
  <c r="E33" i="61" a="1"/>
  <c r="D30" i="61" a="1"/>
  <c r="E46" i="99" a="1"/>
  <c r="D37" i="99" a="1"/>
  <c r="G35" i="99" a="1"/>
  <c r="F43" i="99" a="1"/>
  <c r="F19" i="99" a="1"/>
  <c r="F50" i="99" a="1"/>
  <c r="E38" i="61" a="1"/>
  <c r="F25" i="61" a="1"/>
  <c r="D50" i="99" a="1"/>
  <c r="D50" i="61" a="1"/>
  <c r="F46" i="99" a="1"/>
  <c r="D46" i="99" a="1"/>
  <c r="F41" i="61" a="1"/>
  <c r="D45" i="61" a="1"/>
  <c r="F48" i="99" a="1"/>
  <c r="E42" i="61" a="1"/>
  <c r="E34" i="99" a="1"/>
  <c r="F41" i="99" a="1"/>
  <c r="G33" i="61" a="1"/>
  <c r="D33" i="99" a="1"/>
  <c r="E41" i="61" a="1"/>
  <c r="G46" i="99" a="1"/>
  <c r="F51" i="99" a="1"/>
  <c r="F37" i="61" a="1"/>
  <c r="E29" i="99" a="1"/>
  <c r="E32" i="61" a="1"/>
  <c r="G34" i="61" a="1"/>
  <c r="G21" i="99" a="1"/>
  <c r="E48" i="61" a="1"/>
  <c r="G16" i="61" a="1"/>
  <c r="D36" i="61" a="1"/>
  <c r="G50" i="61" a="1"/>
  <c r="D49" i="99" a="1"/>
  <c r="F20" i="61" a="1"/>
  <c r="F31" i="99" a="1"/>
  <c r="D39" i="61" a="1"/>
  <c r="G41" i="99" a="1"/>
  <c r="G26" i="99" a="1"/>
  <c r="F24" i="61" a="1"/>
  <c r="F34" i="61" a="1"/>
  <c r="E40" i="99" a="1"/>
  <c r="F39" i="99" a="1"/>
  <c r="G47" i="61" a="1"/>
  <c r="G49" i="61" a="1"/>
  <c r="D38" i="99" a="1"/>
  <c r="E48" i="99" a="1"/>
  <c r="F38" i="61" a="1"/>
  <c r="G17" i="99" a="1"/>
  <c r="E26" i="61" a="1"/>
  <c r="E25" i="61" a="1"/>
  <c r="E19" i="61" a="1"/>
  <c r="E43" i="61" a="1"/>
  <c r="G38" i="99" a="1"/>
  <c r="F28" i="99" a="1"/>
  <c r="D22" i="61" a="1"/>
  <c r="E40" i="61" a="1"/>
  <c r="F47" i="99" a="1"/>
  <c r="D29" i="61" a="1"/>
  <c r="G20" i="99" a="1"/>
  <c r="G40" i="99" a="1"/>
  <c r="E34" i="61" a="1"/>
  <c r="D34" i="61" a="1"/>
  <c r="F27" i="99" a="1"/>
  <c r="G51" i="61" a="1"/>
  <c r="D34" i="99" a="1"/>
  <c r="D24" i="61" a="1"/>
  <c r="G43" i="61" a="1"/>
  <c r="F29" i="61" a="1"/>
  <c r="E27" i="61" a="1"/>
  <c r="F34" i="99" a="1"/>
  <c r="D43" i="61" a="1"/>
  <c r="F30" i="61" a="1"/>
  <c r="E35" i="99" a="1"/>
  <c r="G41" i="61" a="1"/>
  <c r="E39" i="99" a="1"/>
  <c r="F30" i="99" a="1"/>
  <c r="G44" i="99" a="1"/>
  <c r="F22" i="99" a="1"/>
  <c r="F33" i="99" a="1"/>
  <c r="D43" i="99" a="1"/>
  <c r="G20" i="61" a="1"/>
  <c r="G32" i="99" a="1"/>
  <c r="F27" i="61" a="1"/>
  <c r="E31" i="99" a="1"/>
  <c r="D41" i="61" a="1"/>
  <c r="D24" i="99" a="1"/>
  <c r="F22" i="61" a="1"/>
  <c r="E47" i="61" a="1"/>
  <c r="F42" i="61" a="1"/>
  <c r="D51" i="99" a="1"/>
  <c r="G48" i="99" a="1"/>
  <c r="E44" i="61" a="1"/>
  <c r="F38" i="99" a="1"/>
  <c r="G44" i="61" a="1"/>
  <c r="E29" i="61" a="1"/>
  <c r="G24" i="61" a="1"/>
  <c r="G30" i="99" a="1"/>
  <c r="D35" i="61" a="1"/>
  <c r="D47" i="99" a="1"/>
  <c r="G23" i="61" a="1"/>
  <c r="D16" i="99" a="1"/>
  <c r="F33" i="61" a="1"/>
  <c r="D46" i="61" a="1"/>
  <c r="G37" i="99" a="1"/>
  <c r="D28" i="99" a="1"/>
  <c r="E21" i="99" a="1"/>
  <c r="G32" i="61" a="1"/>
  <c r="G42" i="98" l="1"/>
  <c r="G42" i="115" s="1" a="1"/>
  <c r="G42" i="115" s="1"/>
  <c r="E20" i="95"/>
  <c r="E27" i="96"/>
  <c r="E42" i="100"/>
  <c r="G41" i="102"/>
  <c r="G46" i="102"/>
  <c r="F28" i="103"/>
  <c r="E17" i="94"/>
  <c r="G38" i="100"/>
  <c r="G39" i="94"/>
  <c r="E26" i="104"/>
  <c r="F37" i="100"/>
  <c r="G25" i="96"/>
  <c r="E33" i="103"/>
  <c r="F16" i="95"/>
  <c r="F51" i="95"/>
  <c r="F40" i="95"/>
  <c r="F27" i="94"/>
  <c r="G24" i="95"/>
  <c r="E44" i="98"/>
  <c r="E44" i="115" s="1" a="1"/>
  <c r="E44" i="115" s="1"/>
  <c r="G42" i="96"/>
  <c r="E19" i="104"/>
  <c r="D48" i="94"/>
  <c r="F23" i="100"/>
  <c r="E25" i="94"/>
  <c r="G39" i="103"/>
  <c r="D35" i="98"/>
  <c r="D35" i="115" s="1" a="1"/>
  <c r="D35" i="115" s="1"/>
  <c r="E18" i="98"/>
  <c r="E18" i="115" s="1" a="1"/>
  <c r="E18" i="115" s="1"/>
  <c r="F34" i="94"/>
  <c r="F33" i="94"/>
  <c r="E45" i="102"/>
  <c r="F39" i="100"/>
  <c r="G47" i="95"/>
  <c r="D20" i="100"/>
  <c r="F28" i="96"/>
  <c r="F42" i="94"/>
  <c r="G40" i="103"/>
  <c r="E29" i="98"/>
  <c r="E29" i="115" s="1" a="1"/>
  <c r="E29" i="115" s="1"/>
  <c r="D25" i="100"/>
  <c r="G38" i="103"/>
  <c r="D39" i="96"/>
  <c r="D36" i="95"/>
  <c r="E36" i="94"/>
  <c r="D29" i="104"/>
  <c r="F22" i="98"/>
  <c r="F22" i="115" s="1" a="1"/>
  <c r="F22" i="115" s="1"/>
  <c r="F19" i="98"/>
  <c r="F19" i="115" s="1" a="1"/>
  <c r="F19" i="115" s="1"/>
  <c r="E36" i="98"/>
  <c r="E36" i="115" s="1" a="1"/>
  <c r="E36" i="115" s="1"/>
  <c r="D37" i="104"/>
  <c r="G36" i="98"/>
  <c r="G36" i="115" s="1" a="1"/>
  <c r="G36" i="115" s="1"/>
  <c r="E45" i="104"/>
  <c r="D19" i="102"/>
  <c r="E31" i="100"/>
  <c r="G51" i="95"/>
  <c r="D25" i="94"/>
  <c r="F43" i="96"/>
  <c r="E37" i="98"/>
  <c r="E37" i="115" s="1" a="1"/>
  <c r="E37" i="115" s="1"/>
  <c r="E33" i="98"/>
  <c r="E33" i="115" s="1" a="1"/>
  <c r="E33" i="115" s="1"/>
  <c r="E21" i="104"/>
  <c r="E35" i="102"/>
  <c r="D45" i="96"/>
  <c r="D44" i="98"/>
  <c r="D44" i="115" s="1" a="1"/>
  <c r="D44" i="115" s="1"/>
  <c r="F24" i="104"/>
  <c r="D25" i="104"/>
  <c r="F32" i="96"/>
  <c r="D33" i="103"/>
  <c r="F37" i="103"/>
  <c r="E18" i="104"/>
  <c r="D17" i="104"/>
  <c r="D23" i="103"/>
  <c r="E46" i="102"/>
  <c r="F43" i="94"/>
  <c r="D45" i="103"/>
  <c r="G49" i="95"/>
  <c r="E42" i="103"/>
  <c r="G22" i="98"/>
  <c r="G22" i="115" s="1" a="1"/>
  <c r="G22" i="115" s="1"/>
  <c r="D21" i="98"/>
  <c r="D21" i="115" s="1" a="1"/>
  <c r="D21" i="115" s="1"/>
  <c r="F33" i="100"/>
  <c r="F20" i="98"/>
  <c r="F20" i="115" s="1" a="1"/>
  <c r="F20" i="115" s="1"/>
  <c r="G37" i="96"/>
  <c r="G19" i="103"/>
  <c r="G49" i="100"/>
  <c r="G36" i="103"/>
  <c r="F16" i="94"/>
  <c r="G44" i="96"/>
  <c r="D16" i="102"/>
  <c r="F45" i="95"/>
  <c r="E31" i="95"/>
  <c r="G28" i="94"/>
  <c r="D20" i="103"/>
  <c r="D31" i="94"/>
  <c r="F41" i="103"/>
  <c r="E16" i="98"/>
  <c r="E16" i="115" s="1" a="1"/>
  <c r="E16" i="115" s="1"/>
  <c r="D31" i="103"/>
  <c r="E39" i="100"/>
  <c r="G22" i="100"/>
  <c r="D33" i="104"/>
  <c r="E30" i="100"/>
  <c r="D29" i="102"/>
  <c r="E30" i="96"/>
  <c r="G34" i="104"/>
  <c r="E16" i="102"/>
  <c r="F21" i="103"/>
  <c r="D34" i="96"/>
  <c r="D25" i="95"/>
  <c r="D23" i="95"/>
  <c r="F20" i="104"/>
  <c r="D43" i="102"/>
  <c r="F41" i="100"/>
  <c r="D46" i="104"/>
  <c r="G37" i="103"/>
  <c r="E46" i="94"/>
  <c r="G35" i="100"/>
  <c r="E25" i="98"/>
  <c r="G31" i="95"/>
  <c r="G20" i="104"/>
  <c r="E27" i="104"/>
  <c r="F36" i="96"/>
  <c r="E46" i="100"/>
  <c r="D49" i="94"/>
  <c r="E42" i="94"/>
  <c r="F32" i="100"/>
  <c r="D28" i="102"/>
  <c r="E27" i="98"/>
  <c r="E35" i="100"/>
  <c r="F46" i="98"/>
  <c r="F46" i="115" s="1" a="1"/>
  <c r="F46" i="115" s="1"/>
  <c r="F42" i="104"/>
  <c r="D24" i="102"/>
  <c r="G28" i="96"/>
  <c r="G22" i="96"/>
  <c r="G30" i="98"/>
  <c r="G30" i="115" s="1" a="1"/>
  <c r="G30" i="115" s="1"/>
  <c r="G27" i="98"/>
  <c r="G25" i="103"/>
  <c r="E19" i="103"/>
  <c r="D45" i="104"/>
  <c r="G24" i="100"/>
  <c r="D39" i="98"/>
  <c r="D39" i="115" s="1" a="1"/>
  <c r="D39" i="115" s="1"/>
  <c r="E44" i="102"/>
  <c r="E49" i="95"/>
  <c r="E44" i="95"/>
  <c r="E41" i="100"/>
  <c r="G22" i="102"/>
  <c r="D20" i="104"/>
  <c r="D29" i="96"/>
  <c r="D36" i="103"/>
  <c r="F21" i="98"/>
  <c r="F21" i="115" s="1" a="1"/>
  <c r="F21" i="115" s="1"/>
  <c r="D18" i="104"/>
  <c r="G32" i="96"/>
  <c r="G35" i="94"/>
  <c r="D22" i="104"/>
  <c r="E48" i="94"/>
  <c r="D37" i="95"/>
  <c r="F16" i="98"/>
  <c r="F16" i="115" s="1" a="1"/>
  <c r="F16" i="115" s="1"/>
  <c r="F45" i="100"/>
  <c r="G44" i="94"/>
  <c r="F29" i="104"/>
  <c r="G46" i="100"/>
  <c r="G19" i="102"/>
  <c r="E39" i="104"/>
  <c r="F19" i="95"/>
  <c r="F32" i="103"/>
  <c r="F19" i="103"/>
  <c r="G30" i="102"/>
  <c r="D44" i="100"/>
  <c r="G23" i="96"/>
  <c r="E42" i="95"/>
  <c r="E32" i="96"/>
  <c r="G45" i="95"/>
  <c r="G27" i="102"/>
  <c r="E21" i="98"/>
  <c r="E21" i="115" s="1" a="1"/>
  <c r="E21" i="115" s="1"/>
  <c r="G33" i="104"/>
  <c r="D40" i="98"/>
  <c r="D40" i="115" s="1" a="1"/>
  <c r="D40" i="115" s="1"/>
  <c r="D26" i="96"/>
  <c r="F28" i="95"/>
  <c r="D47" i="102"/>
  <c r="E41" i="104"/>
  <c r="D42" i="103"/>
  <c r="E16" i="103"/>
  <c r="F40" i="102"/>
  <c r="G18" i="98"/>
  <c r="G18" i="115" s="1" a="1"/>
  <c r="G18" i="115" s="1"/>
  <c r="G48" i="94"/>
  <c r="E40" i="95"/>
  <c r="G41" i="96"/>
  <c r="D17" i="96"/>
  <c r="F49" i="95"/>
  <c r="D19" i="95"/>
  <c r="D47" i="103"/>
  <c r="G39" i="98"/>
  <c r="G39" i="115" s="1" a="1"/>
  <c r="G39" i="115" s="1"/>
  <c r="F24" i="98"/>
  <c r="F24" i="115" s="1" a="1"/>
  <c r="F24" i="115" s="1"/>
  <c r="F34" i="100"/>
  <c r="D41" i="98"/>
  <c r="D41" i="115" s="1" a="1"/>
  <c r="D41" i="115" s="1"/>
  <c r="G36" i="104"/>
  <c r="E48" i="102"/>
  <c r="D35" i="96"/>
  <c r="E41" i="96"/>
  <c r="D24" i="95"/>
  <c r="F38" i="102"/>
  <c r="E39" i="98"/>
  <c r="E39" i="115" s="1" a="1"/>
  <c r="E39" i="115" s="1"/>
  <c r="F19" i="96"/>
  <c r="D35" i="103"/>
  <c r="G40" i="95"/>
  <c r="D51" i="104"/>
  <c r="E37" i="94"/>
  <c r="E29" i="95"/>
  <c r="F37" i="94"/>
  <c r="F46" i="103"/>
  <c r="G36" i="95"/>
  <c r="E19" i="100"/>
  <c r="G24" i="103"/>
  <c r="D30" i="104"/>
  <c r="G23" i="103"/>
  <c r="E41" i="94"/>
  <c r="E25" i="95"/>
  <c r="D26" i="95"/>
  <c r="E29" i="102"/>
  <c r="E30" i="104"/>
  <c r="G24" i="96"/>
  <c r="F31" i="104"/>
  <c r="E28" i="103"/>
  <c r="F32" i="104"/>
  <c r="G37" i="102"/>
  <c r="E17" i="104"/>
  <c r="E25" i="102"/>
  <c r="G18" i="102"/>
  <c r="G50" i="96"/>
  <c r="D21" i="96"/>
  <c r="F47" i="98"/>
  <c r="F47" i="115" s="1" a="1"/>
  <c r="F47" i="115" s="1"/>
  <c r="G17" i="98"/>
  <c r="G17" i="115" s="1" a="1"/>
  <c r="G17" i="115" s="1"/>
  <c r="G33" i="98"/>
  <c r="G33" i="115" s="1" a="1"/>
  <c r="G33" i="115" s="1"/>
  <c r="E28" i="104"/>
  <c r="G30" i="96"/>
  <c r="G17" i="96"/>
  <c r="D47" i="100"/>
  <c r="G48" i="95"/>
  <c r="D23" i="94"/>
  <c r="D38" i="95"/>
  <c r="F24" i="95"/>
  <c r="F40" i="104"/>
  <c r="F37" i="95"/>
  <c r="D30" i="96"/>
  <c r="E47" i="98"/>
  <c r="E47" i="115" s="1" a="1"/>
  <c r="E47" i="115" s="1"/>
  <c r="E22" i="98"/>
  <c r="E22" i="115" s="1" a="1"/>
  <c r="E22" i="115" s="1"/>
  <c r="E18" i="103"/>
  <c r="F37" i="98"/>
  <c r="F37" i="115" s="1" a="1"/>
  <c r="F37" i="115" s="1"/>
  <c r="F34" i="103"/>
  <c r="G28" i="98"/>
  <c r="F47" i="96"/>
  <c r="G46" i="96"/>
  <c r="D50" i="102"/>
  <c r="D40" i="100"/>
  <c r="E49" i="104"/>
  <c r="F21" i="96"/>
  <c r="D20" i="102"/>
  <c r="E28" i="96"/>
  <c r="F18" i="96"/>
  <c r="D50" i="95"/>
  <c r="E26" i="94"/>
  <c r="G31" i="94"/>
  <c r="G40" i="98"/>
  <c r="G40" i="115" s="1" a="1"/>
  <c r="G40" i="115" s="1"/>
  <c r="D19" i="104"/>
  <c r="F44" i="103"/>
  <c r="F32" i="102"/>
  <c r="G16" i="96"/>
  <c r="F51" i="100"/>
  <c r="G18" i="104"/>
  <c r="D27" i="103"/>
  <c r="F31" i="98"/>
  <c r="F31" i="115" s="1" a="1"/>
  <c r="F31" i="115" s="1"/>
  <c r="D39" i="104"/>
  <c r="F23" i="102"/>
  <c r="F39" i="94"/>
  <c r="E24" i="102"/>
  <c r="E50" i="98"/>
  <c r="E50" i="115" s="1" a="1"/>
  <c r="E50" i="115" s="1"/>
  <c r="D35" i="104"/>
  <c r="D48" i="95"/>
  <c r="G40" i="104"/>
  <c r="G33" i="102"/>
  <c r="F43" i="103"/>
  <c r="D34" i="100"/>
  <c r="D31" i="96"/>
  <c r="D47" i="98"/>
  <c r="D47" i="115" s="1" a="1"/>
  <c r="D47" i="115" s="1"/>
  <c r="F30" i="102"/>
  <c r="F26" i="98"/>
  <c r="D24" i="96"/>
  <c r="D27" i="104"/>
  <c r="D30" i="94"/>
  <c r="E34" i="102"/>
  <c r="F46" i="104"/>
  <c r="D49" i="103"/>
  <c r="F46" i="96"/>
  <c r="E29" i="100"/>
  <c r="E35" i="104"/>
  <c r="E41" i="98"/>
  <c r="E41" i="115" s="1" a="1"/>
  <c r="E41" i="115" s="1"/>
  <c r="D28" i="103"/>
  <c r="G43" i="95"/>
  <c r="F21" i="104"/>
  <c r="E20" i="100"/>
  <c r="E42" i="104"/>
  <c r="D18" i="94"/>
  <c r="G42" i="103"/>
  <c r="E36" i="104"/>
  <c r="F31" i="103"/>
  <c r="D29" i="100"/>
  <c r="F45" i="96"/>
  <c r="F26" i="96"/>
  <c r="E19" i="94"/>
  <c r="G37" i="100"/>
  <c r="F19" i="102"/>
  <c r="G48" i="96"/>
  <c r="G21" i="94"/>
  <c r="F27" i="96"/>
  <c r="G30" i="100"/>
  <c r="G16" i="98"/>
  <c r="G16" i="115" s="1" a="1"/>
  <c r="G16" i="115" s="1"/>
  <c r="D23" i="100"/>
  <c r="G28" i="95"/>
  <c r="F44" i="95"/>
  <c r="E44" i="100"/>
  <c r="E29" i="96"/>
  <c r="G29" i="104"/>
  <c r="D50" i="104"/>
  <c r="E47" i="94"/>
  <c r="D25" i="98"/>
  <c r="D50" i="100"/>
  <c r="G49" i="103"/>
  <c r="E27" i="102"/>
  <c r="E38" i="96"/>
  <c r="G33" i="96"/>
  <c r="E47" i="95"/>
  <c r="E40" i="104"/>
  <c r="G39" i="100"/>
  <c r="G50" i="95"/>
  <c r="F34" i="104"/>
  <c r="D43" i="103"/>
  <c r="F28" i="94"/>
  <c r="F17" i="102"/>
  <c r="G17" i="94"/>
  <c r="G45" i="102"/>
  <c r="E47" i="100"/>
  <c r="G25" i="98"/>
  <c r="F50" i="96"/>
  <c r="F46" i="100"/>
  <c r="F47" i="103"/>
  <c r="F41" i="94"/>
  <c r="G37" i="98"/>
  <c r="G37" i="115" s="1" a="1"/>
  <c r="G37" i="115" s="1"/>
  <c r="D39" i="95"/>
  <c r="E40" i="102"/>
  <c r="E43" i="94"/>
  <c r="G23" i="98"/>
  <c r="G23" i="115" s="1" a="1"/>
  <c r="G23" i="115" s="1"/>
  <c r="F42" i="102"/>
  <c r="D39" i="103"/>
  <c r="E45" i="103"/>
  <c r="F19" i="100"/>
  <c r="E19" i="95"/>
  <c r="E42" i="98"/>
  <c r="E42" i="115" s="1" a="1"/>
  <c r="E42" i="115" s="1"/>
  <c r="D43" i="98"/>
  <c r="D43" i="115" s="1" a="1"/>
  <c r="D43" i="115" s="1"/>
  <c r="F34" i="98"/>
  <c r="F34" i="115" s="1" a="1"/>
  <c r="F34" i="115" s="1"/>
  <c r="E42" i="96"/>
  <c r="F21" i="95"/>
  <c r="D17" i="98"/>
  <c r="D17" i="115" s="1" a="1"/>
  <c r="D17" i="115" s="1"/>
  <c r="G47" i="102"/>
  <c r="F39" i="102"/>
  <c r="G51" i="102"/>
  <c r="E44" i="94"/>
  <c r="D35" i="100"/>
  <c r="F35" i="98"/>
  <c r="F35" i="115" s="1" a="1"/>
  <c r="F35" i="115" s="1"/>
  <c r="G46" i="104"/>
  <c r="E17" i="102"/>
  <c r="D37" i="100"/>
  <c r="D39" i="100"/>
  <c r="F17" i="96"/>
  <c r="G36" i="94"/>
  <c r="G23" i="94"/>
  <c r="E49" i="103"/>
  <c r="D31" i="102"/>
  <c r="D49" i="104"/>
  <c r="D27" i="96"/>
  <c r="F51" i="96"/>
  <c r="F34" i="102"/>
  <c r="E30" i="102"/>
  <c r="G23" i="100"/>
  <c r="G45" i="94"/>
  <c r="G41" i="103"/>
  <c r="G50" i="100"/>
  <c r="E44" i="104"/>
  <c r="G33" i="103"/>
  <c r="D21" i="104"/>
  <c r="E38" i="98"/>
  <c r="E38" i="115" s="1" a="1"/>
  <c r="E38" i="115" s="1"/>
  <c r="E33" i="94"/>
  <c r="G23" i="104"/>
  <c r="G22" i="103"/>
  <c r="F24" i="96"/>
  <c r="E34" i="94"/>
  <c r="F20" i="100"/>
  <c r="E50" i="103"/>
  <c r="G26" i="98"/>
  <c r="F50" i="103"/>
  <c r="G32" i="94"/>
  <c r="D23" i="102"/>
  <c r="F20" i="96"/>
  <c r="G36" i="96"/>
  <c r="E47" i="104"/>
  <c r="E25" i="103"/>
  <c r="G25" i="95"/>
  <c r="E25" i="104"/>
  <c r="E27" i="95"/>
  <c r="D24" i="103"/>
  <c r="D41" i="94"/>
  <c r="G26" i="104"/>
  <c r="G20" i="102"/>
  <c r="G19" i="94"/>
  <c r="D20" i="95"/>
  <c r="F25" i="104"/>
  <c r="F34" i="96"/>
  <c r="F50" i="98"/>
  <c r="F50" i="115" s="1" a="1"/>
  <c r="F50" i="115" s="1"/>
  <c r="E39" i="94"/>
  <c r="F46" i="95"/>
  <c r="D48" i="100"/>
  <c r="F44" i="102"/>
  <c r="D23" i="96"/>
  <c r="G34" i="94"/>
  <c r="G24" i="98"/>
  <c r="G24" i="115" s="1" a="1"/>
  <c r="G24" i="115" s="1"/>
  <c r="D50" i="98"/>
  <c r="D50" i="115" s="1" a="1"/>
  <c r="D50" i="115" s="1"/>
  <c r="F23" i="95"/>
  <c r="E16" i="96"/>
  <c r="G44" i="104"/>
  <c r="G45" i="104"/>
  <c r="G43" i="104"/>
  <c r="E43" i="95"/>
  <c r="G50" i="104"/>
  <c r="G25" i="102"/>
  <c r="G37" i="95"/>
  <c r="D30" i="100"/>
  <c r="D22" i="102"/>
  <c r="E26" i="95"/>
  <c r="F23" i="94"/>
  <c r="E31" i="102"/>
  <c r="F29" i="98"/>
  <c r="F29" i="115" s="1" a="1"/>
  <c r="F29" i="115" s="1"/>
  <c r="G23" i="95"/>
  <c r="D25" i="102"/>
  <c r="D42" i="96"/>
  <c r="G34" i="100"/>
  <c r="F44" i="94"/>
  <c r="E33" i="102"/>
  <c r="G18" i="94"/>
  <c r="E42" i="102"/>
  <c r="F30" i="100"/>
  <c r="G51" i="94"/>
  <c r="E35" i="94"/>
  <c r="F38" i="100"/>
  <c r="D20" i="94"/>
  <c r="D19" i="98"/>
  <c r="D19" i="115" s="1" a="1"/>
  <c r="D19" i="115" s="1"/>
  <c r="D27" i="100"/>
  <c r="F17" i="95"/>
  <c r="E33" i="104"/>
  <c r="F31" i="96"/>
  <c r="E39" i="95"/>
  <c r="G38" i="96"/>
  <c r="D31" i="98"/>
  <c r="D31" i="115" s="1" a="1"/>
  <c r="D31" i="115" s="1"/>
  <c r="D51" i="100"/>
  <c r="F21" i="94"/>
  <c r="D44" i="104"/>
  <c r="E30" i="98"/>
  <c r="E30" i="115" s="1" a="1"/>
  <c r="E30" i="115" s="1"/>
  <c r="E40" i="96"/>
  <c r="G45" i="100"/>
  <c r="F41" i="104"/>
  <c r="G46" i="98"/>
  <c r="G46" i="115" s="1" a="1"/>
  <c r="G46" i="115" s="1"/>
  <c r="G35" i="98"/>
  <c r="G35" i="115" s="1" a="1"/>
  <c r="G35" i="115" s="1"/>
  <c r="F34" i="95"/>
  <c r="D37" i="94"/>
  <c r="G22" i="104"/>
  <c r="D19" i="94"/>
  <c r="G29" i="98"/>
  <c r="G29" i="115" s="1" a="1"/>
  <c r="G29" i="115" s="1"/>
  <c r="G49" i="104"/>
  <c r="F50" i="104"/>
  <c r="F35" i="102"/>
  <c r="D26" i="98"/>
  <c r="E46" i="98"/>
  <c r="E46" i="115" s="1" a="1"/>
  <c r="E46" i="115" s="1"/>
  <c r="D50" i="96"/>
  <c r="E16" i="100"/>
  <c r="F29" i="102"/>
  <c r="D16" i="98"/>
  <c r="D16" i="115" s="1" a="1"/>
  <c r="D16" i="115" s="1"/>
  <c r="F45" i="98"/>
  <c r="F45" i="115" s="1" a="1"/>
  <c r="F45" i="115" s="1"/>
  <c r="G50" i="94"/>
  <c r="F20" i="102"/>
  <c r="D34" i="103"/>
  <c r="G50" i="98"/>
  <c r="G50" i="115" s="1" a="1"/>
  <c r="G50" i="115" s="1"/>
  <c r="F28" i="102"/>
  <c r="G19" i="100"/>
  <c r="G21" i="103"/>
  <c r="D40" i="96"/>
  <c r="G37" i="104"/>
  <c r="D21" i="103"/>
  <c r="D18" i="100"/>
  <c r="F30" i="96"/>
  <c r="F18" i="104"/>
  <c r="E29" i="103"/>
  <c r="F47" i="94"/>
  <c r="D42" i="98"/>
  <c r="D42" i="115" s="1" a="1"/>
  <c r="D42" i="115" s="1"/>
  <c r="D33" i="100"/>
  <c r="G32" i="103"/>
  <c r="F24" i="103"/>
  <c r="F27" i="103"/>
  <c r="G32" i="100"/>
  <c r="D42" i="104"/>
  <c r="E23" i="100"/>
  <c r="D44" i="96"/>
  <c r="D33" i="98"/>
  <c r="D33" i="115" s="1" a="1"/>
  <c r="D33" i="115" s="1"/>
  <c r="G31" i="98"/>
  <c r="G31" i="115" s="1" a="1"/>
  <c r="G31" i="115" s="1"/>
  <c r="D22" i="96"/>
  <c r="G50" i="102"/>
  <c r="G41" i="98"/>
  <c r="G41" i="115" s="1" a="1"/>
  <c r="G41" i="115" s="1"/>
  <c r="F17" i="104"/>
  <c r="F36" i="98"/>
  <c r="F36" i="115" s="1" a="1"/>
  <c r="F36" i="115" s="1"/>
  <c r="F42" i="96"/>
  <c r="E50" i="96"/>
  <c r="D38" i="100"/>
  <c r="E19" i="98"/>
  <c r="E19" i="115" s="1" a="1"/>
  <c r="E19" i="115" s="1"/>
  <c r="F21" i="100"/>
  <c r="F18" i="95"/>
  <c r="D47" i="96"/>
  <c r="G27" i="95"/>
  <c r="E24" i="103"/>
  <c r="F26" i="100"/>
  <c r="F29" i="96"/>
  <c r="E18" i="95"/>
  <c r="E34" i="103"/>
  <c r="E16" i="95"/>
  <c r="F38" i="94"/>
  <c r="E46" i="96"/>
  <c r="E44" i="103"/>
  <c r="G39" i="104"/>
  <c r="F48" i="95"/>
  <c r="F40" i="96"/>
  <c r="F17" i="100"/>
  <c r="D40" i="103"/>
  <c r="D46" i="94"/>
  <c r="E19" i="102"/>
  <c r="E48" i="98"/>
  <c r="E48" i="115" s="1" a="1"/>
  <c r="E48" i="115" s="1"/>
  <c r="F18" i="100"/>
  <c r="G26" i="100"/>
  <c r="D34" i="98"/>
  <c r="D34" i="115" s="1" a="1"/>
  <c r="D34" i="115" s="1"/>
  <c r="G33" i="95"/>
  <c r="E35" i="103"/>
  <c r="E36" i="100"/>
  <c r="F51" i="104"/>
  <c r="G44" i="102"/>
  <c r="D27" i="102"/>
  <c r="E22" i="100"/>
  <c r="D22" i="103"/>
  <c r="E37" i="104"/>
  <c r="F25" i="103"/>
  <c r="E38" i="104"/>
  <c r="G42" i="102"/>
  <c r="E43" i="100"/>
  <c r="E36" i="102"/>
  <c r="D21" i="100"/>
  <c r="G35" i="103"/>
  <c r="D26" i="103"/>
  <c r="F43" i="95"/>
  <c r="G20" i="96"/>
  <c r="G19" i="104"/>
  <c r="F51" i="94"/>
  <c r="G43" i="98"/>
  <c r="G43" i="115" s="1" a="1"/>
  <c r="G43" i="115" s="1"/>
  <c r="E27" i="103"/>
  <c r="D17" i="103"/>
  <c r="F22" i="103"/>
  <c r="E31" i="103"/>
  <c r="F18" i="102"/>
  <c r="F42" i="103"/>
  <c r="F41" i="102"/>
  <c r="F33" i="102"/>
  <c r="E26" i="103"/>
  <c r="E21" i="94"/>
  <c r="D38" i="104"/>
  <c r="G27" i="103"/>
  <c r="G28" i="102"/>
  <c r="E41" i="95"/>
  <c r="D20" i="96"/>
  <c r="E37" i="96"/>
  <c r="G43" i="102"/>
  <c r="E31" i="98"/>
  <c r="E31" i="115" s="1" a="1"/>
  <c r="E31" i="115" s="1"/>
  <c r="G45" i="96"/>
  <c r="D18" i="103"/>
  <c r="D37" i="98"/>
  <c r="D37" i="115" s="1" a="1"/>
  <c r="D37" i="115" s="1"/>
  <c r="G33" i="94"/>
  <c r="D21" i="94"/>
  <c r="D35" i="102"/>
  <c r="D46" i="100"/>
  <c r="E33" i="100"/>
  <c r="E45" i="98"/>
  <c r="E45" i="115" s="1" a="1"/>
  <c r="E45" i="115" s="1"/>
  <c r="G51" i="98"/>
  <c r="G51" i="115" s="1" a="1"/>
  <c r="G51" i="115" s="1"/>
  <c r="D17" i="95"/>
  <c r="F25" i="98"/>
  <c r="D36" i="98"/>
  <c r="D36" i="115" s="1" a="1"/>
  <c r="D36" i="115" s="1"/>
  <c r="D40" i="104"/>
  <c r="G29" i="95"/>
  <c r="D48" i="104"/>
  <c r="D32" i="102"/>
  <c r="G51" i="103"/>
  <c r="E18" i="102"/>
  <c r="F27" i="100"/>
  <c r="E29" i="104"/>
  <c r="D20" i="98"/>
  <c r="D20" i="115" s="1" a="1"/>
  <c r="D20" i="115" s="1"/>
  <c r="F20" i="95"/>
  <c r="E18" i="100"/>
  <c r="F43" i="98"/>
  <c r="F43" i="115" s="1" a="1"/>
  <c r="F43" i="115" s="1"/>
  <c r="E45" i="94"/>
  <c r="E38" i="102"/>
  <c r="E39" i="102"/>
  <c r="F48" i="100"/>
  <c r="G31" i="96"/>
  <c r="D45" i="98"/>
  <c r="D45" i="115" s="1" a="1"/>
  <c r="D45" i="115" s="1"/>
  <c r="F29" i="100"/>
  <c r="G27" i="104"/>
  <c r="E43" i="98"/>
  <c r="E43" i="115" s="1" a="1"/>
  <c r="E43" i="115" s="1"/>
  <c r="G50" i="103"/>
  <c r="G30" i="95"/>
  <c r="E36" i="95"/>
  <c r="E24" i="96"/>
  <c r="G25" i="104"/>
  <c r="F49" i="98"/>
  <c r="F49" i="115" s="1" a="1"/>
  <c r="F49" i="115" s="1"/>
  <c r="E47" i="96"/>
  <c r="D18" i="102"/>
  <c r="D49" i="98"/>
  <c r="D49" i="115" s="1" a="1"/>
  <c r="D49" i="115" s="1"/>
  <c r="E20" i="96"/>
  <c r="F45" i="102"/>
  <c r="E40" i="103"/>
  <c r="F50" i="100"/>
  <c r="E17" i="103"/>
  <c r="E35" i="95"/>
  <c r="E32" i="95"/>
  <c r="G40" i="94"/>
  <c r="E23" i="102"/>
  <c r="E26" i="102"/>
  <c r="F44" i="98"/>
  <c r="F44" i="115" s="1" a="1"/>
  <c r="F44" i="115" s="1"/>
  <c r="D32" i="100"/>
  <c r="D36" i="102"/>
  <c r="D16" i="100"/>
  <c r="E33" i="95"/>
  <c r="G24" i="102"/>
  <c r="G31" i="104"/>
  <c r="F16" i="102"/>
  <c r="E51" i="98"/>
  <c r="E51" i="115" s="1" a="1"/>
  <c r="E51" i="115" s="1"/>
  <c r="F40" i="103"/>
  <c r="E17" i="96"/>
  <c r="D45" i="94"/>
  <c r="D41" i="104"/>
  <c r="G27" i="96"/>
  <c r="E23" i="94"/>
  <c r="F27" i="102"/>
  <c r="E40" i="94"/>
  <c r="E49" i="100"/>
  <c r="E51" i="103"/>
  <c r="D17" i="100"/>
  <c r="F36" i="102"/>
  <c r="E24" i="100"/>
  <c r="D27" i="95"/>
  <c r="E50" i="95"/>
  <c r="D31" i="100"/>
  <c r="E49" i="102"/>
  <c r="G16" i="95"/>
  <c r="D45" i="102"/>
  <c r="G26" i="102"/>
  <c r="D21" i="102"/>
  <c r="D43" i="100"/>
  <c r="G18" i="103"/>
  <c r="F36" i="100"/>
  <c r="G45" i="103"/>
  <c r="G27" i="94"/>
  <c r="G30" i="94"/>
  <c r="F42" i="98"/>
  <c r="F42" i="115" s="1" a="1"/>
  <c r="F42" i="115" s="1"/>
  <c r="F47" i="104"/>
  <c r="G17" i="95"/>
  <c r="E19" i="96"/>
  <c r="G41" i="104"/>
  <c r="E51" i="104"/>
  <c r="D47" i="95"/>
  <c r="D30" i="102"/>
  <c r="G38" i="104"/>
  <c r="G28" i="103"/>
  <c r="F22" i="104"/>
  <c r="F32" i="98"/>
  <c r="F32" i="115" s="1" a="1"/>
  <c r="F32" i="115" s="1"/>
  <c r="D25" i="96"/>
  <c r="E30" i="95"/>
  <c r="F49" i="102"/>
  <c r="G33" i="100"/>
  <c r="F41" i="95"/>
  <c r="D26" i="100"/>
  <c r="D40" i="94"/>
  <c r="D42" i="100"/>
  <c r="D19" i="103"/>
  <c r="G25" i="94"/>
  <c r="D41" i="102"/>
  <c r="G43" i="103"/>
  <c r="F29" i="95"/>
  <c r="E21" i="103"/>
  <c r="D28" i="96"/>
  <c r="G17" i="100"/>
  <c r="D16" i="96"/>
  <c r="E23" i="104"/>
  <c r="D29" i="103"/>
  <c r="F26" i="103"/>
  <c r="J49" i="103" s="1"/>
  <c r="F36" i="104"/>
  <c r="G31" i="100"/>
  <c r="G34" i="103"/>
  <c r="G44" i="98"/>
  <c r="G44" i="115" s="1" a="1"/>
  <c r="G44" i="115" s="1"/>
  <c r="E23" i="98"/>
  <c r="E23" i="115" s="1" a="1"/>
  <c r="E23" i="115" s="1"/>
  <c r="E26" i="98"/>
  <c r="E27" i="94"/>
  <c r="D41" i="100"/>
  <c r="F38" i="103"/>
  <c r="E18" i="96"/>
  <c r="F20" i="94"/>
  <c r="E16" i="104"/>
  <c r="F27" i="104"/>
  <c r="D45" i="100"/>
  <c r="G45" i="98"/>
  <c r="G45" i="115" s="1" a="1"/>
  <c r="G45" i="115" s="1"/>
  <c r="E34" i="98"/>
  <c r="E34" i="115" s="1" a="1"/>
  <c r="E34" i="115" s="1"/>
  <c r="G47" i="96"/>
  <c r="F38" i="96"/>
  <c r="G40" i="100"/>
  <c r="D34" i="94"/>
  <c r="G51" i="104"/>
  <c r="G20" i="98"/>
  <c r="G20" i="115" s="1" a="1"/>
  <c r="G20" i="115" s="1"/>
  <c r="E47" i="102"/>
  <c r="E24" i="95"/>
  <c r="G51" i="100"/>
  <c r="G42" i="95"/>
  <c r="E28" i="100"/>
  <c r="F25" i="100"/>
  <c r="J48" i="100" s="1"/>
  <c r="N19" i="113" s="1"/>
  <c r="E22" i="102"/>
  <c r="G42" i="100"/>
  <c r="F20" i="103"/>
  <c r="E34" i="95"/>
  <c r="F38" i="95"/>
  <c r="G43" i="100"/>
  <c r="G38" i="94"/>
  <c r="G19" i="95"/>
  <c r="G34" i="96"/>
  <c r="F45" i="103"/>
  <c r="D19" i="96"/>
  <c r="G46" i="95"/>
  <c r="G16" i="100"/>
  <c r="G51" i="96"/>
  <c r="D28" i="104"/>
  <c r="E38" i="95"/>
  <c r="F33" i="104"/>
  <c r="D32" i="95"/>
  <c r="D27" i="98"/>
  <c r="G29" i="94"/>
  <c r="F25" i="94"/>
  <c r="F49" i="104"/>
  <c r="D46" i="98"/>
  <c r="D46" i="115" s="1" a="1"/>
  <c r="D46" i="115" s="1"/>
  <c r="D32" i="98"/>
  <c r="D32" i="115" s="1" a="1"/>
  <c r="D32" i="115" s="1"/>
  <c r="E46" i="95"/>
  <c r="F17" i="94"/>
  <c r="G40" i="102"/>
  <c r="D26" i="104"/>
  <c r="H49" i="104" s="1"/>
  <c r="D43" i="94"/>
  <c r="F51" i="98"/>
  <c r="F51" i="115" s="1" a="1"/>
  <c r="F51" i="115" s="1"/>
  <c r="G49" i="102"/>
  <c r="D26" i="102"/>
  <c r="F25" i="96"/>
  <c r="D48" i="102"/>
  <c r="G39" i="102"/>
  <c r="F22" i="94"/>
  <c r="G21" i="104"/>
  <c r="E20" i="104"/>
  <c r="G30" i="103"/>
  <c r="E21" i="95"/>
  <c r="D31" i="104"/>
  <c r="G27" i="100"/>
  <c r="G38" i="98"/>
  <c r="G38" i="115" s="1" a="1"/>
  <c r="G38" i="115" s="1"/>
  <c r="E44" i="96"/>
  <c r="D35" i="95"/>
  <c r="D30" i="98"/>
  <c r="D30" i="115" s="1" a="1"/>
  <c r="D30" i="115" s="1"/>
  <c r="D36" i="94"/>
  <c r="D48" i="96"/>
  <c r="D22" i="98"/>
  <c r="D22" i="115" s="1" a="1"/>
  <c r="D22" i="115" s="1"/>
  <c r="G41" i="100"/>
  <c r="E33" i="96"/>
  <c r="G24" i="104"/>
  <c r="E51" i="95"/>
  <c r="F39" i="104"/>
  <c r="D37" i="102"/>
  <c r="F17" i="98"/>
  <c r="F17" i="115" s="1" a="1"/>
  <c r="F17" i="115" s="1"/>
  <c r="D51" i="98"/>
  <c r="D51" i="115" s="1" a="1"/>
  <c r="D51" i="115" s="1"/>
  <c r="G41" i="94"/>
  <c r="G35" i="96"/>
  <c r="F41" i="96"/>
  <c r="E23" i="95"/>
  <c r="G46" i="103"/>
  <c r="D19" i="100"/>
  <c r="D32" i="94"/>
  <c r="D42" i="94"/>
  <c r="E25" i="100"/>
  <c r="D28" i="98"/>
  <c r="E18" i="94"/>
  <c r="G32" i="98"/>
  <c r="G32" i="115" s="1" a="1"/>
  <c r="G32" i="115" s="1"/>
  <c r="D49" i="102"/>
  <c r="E38" i="94"/>
  <c r="E43" i="96"/>
  <c r="D47" i="104"/>
  <c r="F28" i="100"/>
  <c r="D51" i="96"/>
  <c r="F35" i="96"/>
  <c r="F33" i="95"/>
  <c r="F50" i="95"/>
  <c r="F18" i="103"/>
  <c r="E30" i="94"/>
  <c r="D16" i="94"/>
  <c r="D34" i="102"/>
  <c r="F16" i="100"/>
  <c r="G21" i="100"/>
  <c r="G28" i="104"/>
  <c r="G41" i="95"/>
  <c r="G22" i="94"/>
  <c r="D16" i="95"/>
  <c r="F43" i="102"/>
  <c r="G49" i="94"/>
  <c r="D41" i="96"/>
  <c r="F49" i="100"/>
  <c r="E46" i="103"/>
  <c r="G20" i="94"/>
  <c r="G28" i="100"/>
  <c r="F23" i="103"/>
  <c r="E31" i="94"/>
  <c r="E20" i="98"/>
  <c r="E20" i="115" s="1" a="1"/>
  <c r="E20" i="115" s="1"/>
  <c r="G32" i="95"/>
  <c r="F38" i="98"/>
  <c r="F38" i="115" s="1" a="1"/>
  <c r="F38" i="115" s="1"/>
  <c r="E17" i="100"/>
  <c r="G47" i="100"/>
  <c r="F16" i="96"/>
  <c r="D44" i="94"/>
  <c r="D40" i="102"/>
  <c r="D26" i="94"/>
  <c r="D18" i="98"/>
  <c r="D18" i="115" s="1" a="1"/>
  <c r="D18" i="115" s="1"/>
  <c r="D51" i="102"/>
  <c r="E27" i="100"/>
  <c r="G43" i="94"/>
  <c r="E37" i="95"/>
  <c r="G29" i="100"/>
  <c r="D30" i="103"/>
  <c r="F33" i="96"/>
  <c r="E21" i="100"/>
  <c r="D29" i="95"/>
  <c r="G34" i="102"/>
  <c r="F37" i="102"/>
  <c r="F23" i="98"/>
  <c r="F23" i="115" s="1" a="1"/>
  <c r="F23" i="115" s="1"/>
  <c r="E47" i="103"/>
  <c r="D47" i="94"/>
  <c r="E22" i="104"/>
  <c r="E23" i="96"/>
  <c r="F45" i="94"/>
  <c r="G47" i="94"/>
  <c r="G29" i="96"/>
  <c r="D21" i="95"/>
  <c r="E32" i="104"/>
  <c r="G21" i="95"/>
  <c r="F19" i="104"/>
  <c r="E41" i="103"/>
  <c r="F31" i="100"/>
  <c r="G44" i="100"/>
  <c r="E38" i="100"/>
  <c r="F30" i="104"/>
  <c r="E24" i="98"/>
  <c r="E24" i="115" s="1" a="1"/>
  <c r="E24" i="115" s="1"/>
  <c r="G16" i="102"/>
  <c r="E37" i="100"/>
  <c r="G48" i="100"/>
  <c r="G18" i="95"/>
  <c r="D41" i="103"/>
  <c r="G49" i="96"/>
  <c r="E48" i="103"/>
  <c r="F35" i="100"/>
  <c r="F46" i="102"/>
  <c r="F33" i="103"/>
  <c r="E45" i="96"/>
  <c r="E26" i="96"/>
  <c r="F16" i="103"/>
  <c r="F41" i="98"/>
  <c r="F41" i="115" s="1" a="1"/>
  <c r="F41" i="115" s="1"/>
  <c r="D28" i="95"/>
  <c r="E50" i="104"/>
  <c r="F49" i="94"/>
  <c r="E51" i="102"/>
  <c r="D23" i="98"/>
  <c r="D23" i="115" s="1" a="1"/>
  <c r="D23" i="115" s="1"/>
  <c r="D38" i="94"/>
  <c r="E28" i="94"/>
  <c r="D29" i="94"/>
  <c r="D35" i="94"/>
  <c r="F18" i="94"/>
  <c r="G35" i="102"/>
  <c r="E40" i="100"/>
  <c r="D38" i="98"/>
  <c r="D38" i="115" s="1" a="1"/>
  <c r="D38" i="115" s="1"/>
  <c r="F22" i="102"/>
  <c r="G18" i="96"/>
  <c r="D51" i="95"/>
  <c r="G46" i="94"/>
  <c r="E34" i="100"/>
  <c r="G32" i="102"/>
  <c r="G18" i="100"/>
  <c r="G31" i="102"/>
  <c r="G29" i="103"/>
  <c r="E24" i="94"/>
  <c r="D32" i="104"/>
  <c r="F42" i="95"/>
  <c r="G24" i="94"/>
  <c r="E39" i="103"/>
  <c r="D31" i="95"/>
  <c r="F35" i="94"/>
  <c r="E20" i="94"/>
  <c r="F30" i="103"/>
  <c r="E32" i="98"/>
  <c r="E32" i="115" s="1" a="1"/>
  <c r="E32" i="115" s="1"/>
  <c r="F39" i="95"/>
  <c r="F44" i="96"/>
  <c r="G16" i="94"/>
  <c r="G43" i="96"/>
  <c r="E31" i="104"/>
  <c r="G20" i="95"/>
  <c r="F39" i="96"/>
  <c r="D37" i="103"/>
  <c r="D39" i="94"/>
  <c r="F44" i="100"/>
  <c r="E20" i="103"/>
  <c r="E32" i="94"/>
  <c r="D51" i="94"/>
  <c r="D17" i="94"/>
  <c r="D36" i="96"/>
  <c r="E50" i="94"/>
  <c r="G26" i="94"/>
  <c r="E45" i="100"/>
  <c r="F28" i="98"/>
  <c r="D49" i="100"/>
  <c r="E22" i="94"/>
  <c r="D16" i="104"/>
  <c r="F33" i="98"/>
  <c r="F33" i="115" s="1" a="1"/>
  <c r="F33" i="115" s="1"/>
  <c r="G34" i="98"/>
  <c r="G34" i="115" s="1" a="1"/>
  <c r="G34" i="115" s="1"/>
  <c r="F18" i="98"/>
  <c r="F18" i="115" s="1" a="1"/>
  <c r="F18" i="115" s="1"/>
  <c r="E35" i="96"/>
  <c r="F22" i="96"/>
  <c r="G35" i="95"/>
  <c r="F48" i="96"/>
  <c r="G26" i="103"/>
  <c r="E22" i="95"/>
  <c r="E43" i="103"/>
  <c r="G44" i="103"/>
  <c r="E21" i="96"/>
  <c r="G48" i="104"/>
  <c r="E36" i="103"/>
  <c r="E26" i="100"/>
  <c r="F35" i="95"/>
  <c r="G20" i="100"/>
  <c r="F40" i="100"/>
  <c r="F26" i="94"/>
  <c r="G17" i="103"/>
  <c r="F44" i="104"/>
  <c r="F30" i="98"/>
  <c r="F30" i="115" s="1" a="1"/>
  <c r="F30" i="115" s="1"/>
  <c r="G37" i="94"/>
  <c r="F38" i="104"/>
  <c r="D38" i="102"/>
  <c r="D38" i="103"/>
  <c r="D33" i="95"/>
  <c r="F24" i="100"/>
  <c r="G21" i="98"/>
  <c r="G21" i="115" s="1" a="1"/>
  <c r="G21" i="115" s="1"/>
  <c r="F27" i="95"/>
  <c r="G36" i="100"/>
  <c r="E24" i="104"/>
  <c r="D16" i="103"/>
  <c r="D45" i="95"/>
  <c r="G17" i="102"/>
  <c r="F24" i="102"/>
  <c r="G47" i="103"/>
  <c r="G29" i="102"/>
  <c r="D34" i="104"/>
  <c r="D37" i="96"/>
  <c r="G39" i="96"/>
  <c r="D32" i="96"/>
  <c r="E43" i="104"/>
  <c r="D24" i="100"/>
  <c r="D42" i="95"/>
  <c r="D46" i="95"/>
  <c r="E37" i="103"/>
  <c r="G30" i="104"/>
  <c r="F36" i="103"/>
  <c r="E25" i="96"/>
  <c r="F36" i="95"/>
  <c r="F24" i="94"/>
  <c r="D18" i="95"/>
  <c r="E51" i="100"/>
  <c r="D40" i="95"/>
  <c r="G26" i="95"/>
  <c r="F23" i="104"/>
  <c r="F26" i="95"/>
  <c r="G42" i="94"/>
  <c r="G17" i="104"/>
  <c r="E45" i="95"/>
  <c r="F26" i="102"/>
  <c r="J49" i="102" s="1"/>
  <c r="E37" i="102"/>
  <c r="E28" i="95"/>
  <c r="F47" i="100"/>
  <c r="D23" i="104"/>
  <c r="E39" i="96"/>
  <c r="F25" i="102"/>
  <c r="D46" i="103"/>
  <c r="D50" i="94"/>
  <c r="F32" i="94"/>
  <c r="F16" i="104"/>
  <c r="F51" i="103"/>
  <c r="G20" i="103"/>
  <c r="E17" i="95"/>
  <c r="D48" i="103"/>
  <c r="D33" i="94"/>
  <c r="D43" i="104"/>
  <c r="E22" i="103"/>
  <c r="G39" i="95"/>
  <c r="E49" i="98"/>
  <c r="E49" i="115" s="1" a="1"/>
  <c r="E49" i="115" s="1"/>
  <c r="G34" i="95"/>
  <c r="D18" i="96"/>
  <c r="E28" i="102"/>
  <c r="E35" i="98"/>
  <c r="E35" i="115" s="1" a="1"/>
  <c r="E35" i="115" s="1"/>
  <c r="D49" i="95"/>
  <c r="F30" i="94"/>
  <c r="E32" i="102"/>
  <c r="E32" i="103"/>
  <c r="D41" i="95"/>
  <c r="G32" i="104"/>
  <c r="F48" i="98"/>
  <c r="F48" i="115" s="1" a="1"/>
  <c r="F48" i="115" s="1"/>
  <c r="E40" i="98"/>
  <c r="E40" i="115" s="1" a="1"/>
  <c r="E40" i="115" s="1"/>
  <c r="G16" i="103"/>
  <c r="F31" i="94"/>
  <c r="D25" i="103"/>
  <c r="G44" i="95"/>
  <c r="D43" i="95"/>
  <c r="D33" i="102"/>
  <c r="F50" i="94"/>
  <c r="D32" i="103"/>
  <c r="G31" i="103"/>
  <c r="F47" i="95"/>
  <c r="F21" i="102"/>
  <c r="E32" i="100"/>
  <c r="D42" i="102"/>
  <c r="E49" i="96"/>
  <c r="D22" i="100"/>
  <c r="D46" i="102"/>
  <c r="F29" i="103"/>
  <c r="E38" i="103"/>
  <c r="F43" i="100"/>
  <c r="D22" i="94"/>
  <c r="E46" i="104"/>
  <c r="F49" i="103"/>
  <c r="F37" i="104"/>
  <c r="E41" i="102"/>
  <c r="E28" i="98"/>
  <c r="F48" i="94"/>
  <c r="G38" i="95"/>
  <c r="F40" i="94"/>
  <c r="E20" i="102"/>
  <c r="E23" i="103"/>
  <c r="D46" i="96"/>
  <c r="F32" i="95"/>
  <c r="F39" i="98"/>
  <c r="F39" i="115" s="1" a="1"/>
  <c r="F39" i="115" s="1"/>
  <c r="F26" i="104"/>
  <c r="G21" i="96"/>
  <c r="F39" i="103"/>
  <c r="F46" i="94"/>
  <c r="D44" i="95"/>
  <c r="F27" i="98"/>
  <c r="D24" i="104"/>
  <c r="F17" i="103"/>
  <c r="G21" i="102"/>
  <c r="D51" i="103"/>
  <c r="E36" i="96"/>
  <c r="F43" i="104"/>
  <c r="E31" i="96"/>
  <c r="E30" i="103"/>
  <c r="E48" i="104"/>
  <c r="D28" i="94"/>
  <c r="G35" i="104"/>
  <c r="F48" i="102"/>
  <c r="F19" i="94"/>
  <c r="F29" i="94"/>
  <c r="D36" i="104"/>
  <c r="D36" i="100"/>
  <c r="E50" i="102"/>
  <c r="D49" i="96"/>
  <c r="G40" i="96"/>
  <c r="F35" i="104"/>
  <c r="G36" i="102"/>
  <c r="G42" i="104"/>
  <c r="F30" i="95"/>
  <c r="D27" i="94"/>
  <c r="D17" i="102"/>
  <c r="G19" i="98"/>
  <c r="G19" i="115" s="1" a="1"/>
  <c r="G19" i="115" s="1"/>
  <c r="E34" i="104"/>
  <c r="F48" i="104"/>
  <c r="F48" i="103"/>
  <c r="G49" i="98"/>
  <c r="G49" i="115" s="1" a="1"/>
  <c r="G49" i="115" s="1"/>
  <c r="E34" i="96"/>
  <c r="D38" i="96"/>
  <c r="E29" i="94"/>
  <c r="E51" i="96"/>
  <c r="F37" i="96"/>
  <c r="E51" i="94"/>
  <c r="F51" i="102"/>
  <c r="D39" i="102"/>
  <c r="D24" i="94"/>
  <c r="G16" i="104"/>
  <c r="G47" i="104"/>
  <c r="F36" i="94"/>
  <c r="E16" i="94"/>
  <c r="D43" i="96"/>
  <c r="F45" i="104"/>
  <c r="D24" i="98"/>
  <c r="D24" i="115" s="1" a="1"/>
  <c r="D24" i="115" s="1"/>
  <c r="D29" i="98"/>
  <c r="D29" i="115" s="1" a="1"/>
  <c r="D29" i="115" s="1"/>
  <c r="F49" i="96"/>
  <c r="D33" i="96"/>
  <c r="F42" i="100"/>
  <c r="F40" i="98"/>
  <c r="F40" i="115" s="1" a="1"/>
  <c r="F40" i="115" s="1"/>
  <c r="D22" i="95"/>
  <c r="E49" i="94"/>
  <c r="F23" i="96"/>
  <c r="E48" i="96"/>
  <c r="E21" i="102"/>
  <c r="F50" i="102"/>
  <c r="D48" i="98"/>
  <c r="D48" i="115" s="1" a="1"/>
  <c r="D48" i="115" s="1"/>
  <c r="F28" i="104"/>
  <c r="D44" i="102"/>
  <c r="E22" i="96"/>
  <c r="G26" i="96"/>
  <c r="G38" i="102"/>
  <c r="E43" i="102"/>
  <c r="E17" i="98"/>
  <c r="E17" i="115" s="1" a="1"/>
  <c r="E17" i="115" s="1"/>
  <c r="G48" i="103"/>
  <c r="G48" i="98"/>
  <c r="G48" i="115" s="1" a="1"/>
  <c r="G48" i="115" s="1"/>
  <c r="F25" i="95"/>
  <c r="G22" i="95"/>
  <c r="D50" i="103"/>
  <c r="E48" i="100"/>
  <c r="E50" i="100"/>
  <c r="F31" i="95"/>
  <c r="E48" i="95"/>
  <c r="F22" i="100"/>
  <c r="D34" i="95"/>
  <c r="F47" i="102"/>
  <c r="D30" i="95"/>
  <c r="F31" i="102"/>
  <c r="D28" i="100"/>
  <c r="G25" i="100"/>
  <c r="G19" i="96"/>
  <c r="F22" i="95"/>
  <c r="G48" i="102"/>
  <c r="G47" i="98"/>
  <c r="G47" i="115" s="1" a="1"/>
  <c r="G47" i="115" s="1"/>
  <c r="G23" i="102"/>
  <c r="F35" i="103"/>
  <c r="D44" i="103"/>
  <c r="G43" i="61"/>
  <c r="G42" i="61"/>
  <c r="G48" i="61"/>
  <c r="G44" i="61"/>
  <c r="G46" i="61"/>
  <c r="G41" i="61"/>
  <c r="G50" i="61"/>
  <c r="G51" i="61"/>
  <c r="G45" i="61"/>
  <c r="G40" i="61"/>
  <c r="G49" i="61"/>
  <c r="G47" i="61"/>
  <c r="D50" i="99"/>
  <c r="D42" i="99"/>
  <c r="D44" i="99"/>
  <c r="D41" i="99"/>
  <c r="D49" i="99"/>
  <c r="D46" i="99"/>
  <c r="D51" i="99"/>
  <c r="D48" i="99"/>
  <c r="D47" i="99"/>
  <c r="D40" i="99"/>
  <c r="D45" i="99"/>
  <c r="D43" i="99"/>
  <c r="D50" i="61"/>
  <c r="D43" i="61"/>
  <c r="D40" i="61"/>
  <c r="D44" i="61"/>
  <c r="D48" i="61"/>
  <c r="D51" i="61"/>
  <c r="D49" i="61"/>
  <c r="D41" i="61"/>
  <c r="D45" i="61"/>
  <c r="D47" i="61"/>
  <c r="D46" i="61"/>
  <c r="D42" i="61"/>
  <c r="E43" i="99"/>
  <c r="E50" i="99"/>
  <c r="E47" i="99"/>
  <c r="E48" i="99"/>
  <c r="E51" i="99"/>
  <c r="E40" i="99"/>
  <c r="E45" i="99"/>
  <c r="E46" i="99"/>
  <c r="E42" i="99"/>
  <c r="E41" i="99"/>
  <c r="E49" i="99"/>
  <c r="E44" i="99"/>
  <c r="E40" i="61"/>
  <c r="E46" i="61"/>
  <c r="E47" i="61"/>
  <c r="E48" i="61"/>
  <c r="E42" i="61"/>
  <c r="E51" i="61"/>
  <c r="E41" i="61"/>
  <c r="E49" i="61"/>
  <c r="E45" i="61"/>
  <c r="E43" i="61"/>
  <c r="E44" i="61"/>
  <c r="E50" i="61"/>
  <c r="F43" i="99"/>
  <c r="F42" i="99"/>
  <c r="F40" i="99"/>
  <c r="F45" i="99"/>
  <c r="F47" i="99"/>
  <c r="F44" i="99"/>
  <c r="F51" i="99"/>
  <c r="F41" i="99"/>
  <c r="F48" i="99"/>
  <c r="F49" i="99"/>
  <c r="F50" i="99"/>
  <c r="F46" i="99"/>
  <c r="F42" i="61"/>
  <c r="F50" i="61"/>
  <c r="F41" i="61"/>
  <c r="F40" i="61"/>
  <c r="F51" i="61"/>
  <c r="F47" i="61"/>
  <c r="F45" i="61"/>
  <c r="F49" i="61"/>
  <c r="F43" i="61"/>
  <c r="F46" i="61"/>
  <c r="F44" i="61"/>
  <c r="F48" i="61"/>
  <c r="G46" i="99"/>
  <c r="G41" i="99"/>
  <c r="G48" i="99"/>
  <c r="G49" i="99"/>
  <c r="G42" i="99"/>
  <c r="G45" i="99"/>
  <c r="G51" i="99"/>
  <c r="G43" i="99"/>
  <c r="G44" i="99"/>
  <c r="G47" i="99"/>
  <c r="G50" i="99"/>
  <c r="G40" i="99"/>
  <c r="D32" i="61"/>
  <c r="D31" i="61"/>
  <c r="D30" i="61"/>
  <c r="D34" i="61"/>
  <c r="D35" i="61"/>
  <c r="D29" i="61"/>
  <c r="D33" i="61"/>
  <c r="D38" i="61"/>
  <c r="D37" i="61"/>
  <c r="D36" i="61"/>
  <c r="D28" i="61"/>
  <c r="D39" i="61"/>
  <c r="E33" i="99"/>
  <c r="E36" i="99"/>
  <c r="E34" i="99"/>
  <c r="E37" i="99"/>
  <c r="E29" i="99"/>
  <c r="E28" i="99"/>
  <c r="E30" i="99"/>
  <c r="E35" i="99"/>
  <c r="E32" i="99"/>
  <c r="E31" i="99"/>
  <c r="E38" i="99"/>
  <c r="E39" i="99"/>
  <c r="E30" i="61"/>
  <c r="E28" i="61"/>
  <c r="E29" i="61"/>
  <c r="E37" i="61"/>
  <c r="E31" i="61"/>
  <c r="E35" i="61"/>
  <c r="E32" i="61"/>
  <c r="E34" i="61"/>
  <c r="E36" i="61"/>
  <c r="E38" i="61"/>
  <c r="E39" i="61"/>
  <c r="E33" i="61"/>
  <c r="F34" i="99"/>
  <c r="F28" i="99"/>
  <c r="F30" i="99"/>
  <c r="F35" i="99"/>
  <c r="F33" i="99"/>
  <c r="F31" i="99"/>
  <c r="F36" i="99"/>
  <c r="F39" i="99"/>
  <c r="F29" i="99"/>
  <c r="F37" i="99"/>
  <c r="F38" i="99"/>
  <c r="F32" i="99"/>
  <c r="D37" i="99"/>
  <c r="D28" i="99"/>
  <c r="D31" i="99"/>
  <c r="D36" i="99"/>
  <c r="D34" i="99"/>
  <c r="D39" i="99"/>
  <c r="D32" i="99"/>
  <c r="D29" i="99"/>
  <c r="D33" i="99"/>
  <c r="D30" i="99"/>
  <c r="D38" i="99"/>
  <c r="D35" i="99"/>
  <c r="F31" i="61"/>
  <c r="F32" i="61"/>
  <c r="F38" i="61"/>
  <c r="F33" i="61"/>
  <c r="F37" i="61"/>
  <c r="F39" i="61"/>
  <c r="F34" i="61"/>
  <c r="F28" i="61"/>
  <c r="F29" i="61"/>
  <c r="F36" i="61"/>
  <c r="F30" i="61"/>
  <c r="F35" i="61"/>
  <c r="G39" i="99"/>
  <c r="G36" i="99"/>
  <c r="G37" i="99"/>
  <c r="G34" i="99"/>
  <c r="G29" i="99"/>
  <c r="G35" i="99"/>
  <c r="G31" i="99"/>
  <c r="G32" i="99"/>
  <c r="G33" i="99"/>
  <c r="G38" i="99"/>
  <c r="G30" i="99"/>
  <c r="G28" i="99"/>
  <c r="G29" i="61"/>
  <c r="G31" i="61"/>
  <c r="G36" i="61"/>
  <c r="G30" i="61"/>
  <c r="G32" i="61"/>
  <c r="G38" i="61"/>
  <c r="G34" i="61"/>
  <c r="G37" i="61"/>
  <c r="G33" i="61"/>
  <c r="G28" i="61"/>
  <c r="G35" i="61"/>
  <c r="G39" i="61"/>
  <c r="E16" i="99"/>
  <c r="E26" i="99"/>
  <c r="E24" i="99"/>
  <c r="E17" i="99"/>
  <c r="E22" i="99"/>
  <c r="E27" i="99"/>
  <c r="E20" i="99"/>
  <c r="E23" i="99"/>
  <c r="E19" i="99"/>
  <c r="E25" i="99"/>
  <c r="E18" i="99"/>
  <c r="E21" i="99"/>
  <c r="G18" i="99"/>
  <c r="G25" i="99"/>
  <c r="G21" i="99"/>
  <c r="G27" i="99"/>
  <c r="G24" i="99"/>
  <c r="G22" i="99"/>
  <c r="G26" i="99"/>
  <c r="G19" i="99"/>
  <c r="G23" i="99"/>
  <c r="G17" i="99"/>
  <c r="G16" i="99"/>
  <c r="G20" i="99"/>
  <c r="G20" i="61"/>
  <c r="G26" i="61"/>
  <c r="G21" i="61"/>
  <c r="G24" i="61"/>
  <c r="G22" i="61"/>
  <c r="G25" i="61"/>
  <c r="G18" i="61"/>
  <c r="G17" i="61"/>
  <c r="G23" i="61"/>
  <c r="G16" i="61"/>
  <c r="G27" i="61"/>
  <c r="G19" i="61"/>
  <c r="F22" i="99"/>
  <c r="F25" i="99"/>
  <c r="F17" i="99"/>
  <c r="F26" i="99"/>
  <c r="F18" i="99"/>
  <c r="F24" i="99"/>
  <c r="F16" i="99"/>
  <c r="F23" i="99"/>
  <c r="F21" i="99"/>
  <c r="F20" i="99"/>
  <c r="F27" i="99"/>
  <c r="F19" i="99"/>
  <c r="D26" i="61"/>
  <c r="D21" i="61"/>
  <c r="D17" i="61"/>
  <c r="D24" i="61"/>
  <c r="D20" i="61"/>
  <c r="D27" i="61"/>
  <c r="D25" i="61"/>
  <c r="D18" i="61"/>
  <c r="D22" i="61"/>
  <c r="D19" i="61"/>
  <c r="D16" i="61"/>
  <c r="D23" i="61"/>
  <c r="E26" i="61"/>
  <c r="E18" i="61"/>
  <c r="E16" i="61"/>
  <c r="E22" i="61"/>
  <c r="E25" i="61"/>
  <c r="E24" i="61"/>
  <c r="E17" i="61"/>
  <c r="E27" i="61"/>
  <c r="E23" i="61"/>
  <c r="E21" i="61"/>
  <c r="E20" i="61"/>
  <c r="E19" i="61"/>
  <c r="F19" i="61"/>
  <c r="F16" i="61"/>
  <c r="F23" i="61"/>
  <c r="F21" i="61"/>
  <c r="F27" i="61"/>
  <c r="F17" i="61"/>
  <c r="F25" i="61"/>
  <c r="F18" i="61"/>
  <c r="F22" i="61"/>
  <c r="F20" i="61"/>
  <c r="F26" i="61"/>
  <c r="F24" i="61"/>
  <c r="D23" i="99"/>
  <c r="D17" i="99"/>
  <c r="D16" i="99"/>
  <c r="D20" i="99"/>
  <c r="D22" i="99"/>
  <c r="D25" i="99"/>
  <c r="D24" i="99"/>
  <c r="D18" i="99"/>
  <c r="D19" i="99"/>
  <c r="D26" i="99"/>
  <c r="D27" i="99"/>
  <c r="D21" i="99"/>
  <c r="I51" i="104" l="1"/>
  <c r="I48" i="102"/>
  <c r="T15" i="113" s="1"/>
  <c r="H48" i="94"/>
  <c r="Z16" i="113" s="1"/>
  <c r="D28" i="115" a="1"/>
  <c r="D28" i="115" s="1"/>
  <c r="H51" i="115" s="1"/>
  <c r="H51" i="98"/>
  <c r="H50" i="95"/>
  <c r="I50" i="95"/>
  <c r="E27" i="115" a="1"/>
  <c r="E27" i="115" s="1"/>
  <c r="I50" i="98"/>
  <c r="H48" i="100"/>
  <c r="N16" i="113" s="1"/>
  <c r="I48" i="94"/>
  <c r="Z15" i="113" s="1"/>
  <c r="Z14" i="113" s="1"/>
  <c r="I49" i="104"/>
  <c r="K49" i="104"/>
  <c r="D26" i="115" a="1"/>
  <c r="D26" i="115" s="1"/>
  <c r="H49" i="115" s="1"/>
  <c r="H49" i="98"/>
  <c r="I49" i="95"/>
  <c r="D25" i="115" a="1"/>
  <c r="D25" i="115" s="1"/>
  <c r="H48" i="98"/>
  <c r="H51" i="103"/>
  <c r="K48" i="100"/>
  <c r="N18" i="113" s="1"/>
  <c r="N17" i="113" s="1"/>
  <c r="E19" i="122" s="1"/>
  <c r="H51" i="95"/>
  <c r="I50" i="100"/>
  <c r="K51" i="100"/>
  <c r="J50" i="100"/>
  <c r="H51" i="100"/>
  <c r="H50" i="94"/>
  <c r="H51" i="94"/>
  <c r="J49" i="95"/>
  <c r="J50" i="95"/>
  <c r="I48" i="100"/>
  <c r="N15" i="113" s="1"/>
  <c r="K50" i="104"/>
  <c r="I49" i="103"/>
  <c r="H49" i="103"/>
  <c r="J50" i="103"/>
  <c r="I48" i="104"/>
  <c r="L15" i="113" s="1"/>
  <c r="H50" i="96"/>
  <c r="J51" i="94"/>
  <c r="H51" i="102"/>
  <c r="K50" i="100"/>
  <c r="I51" i="100"/>
  <c r="H50" i="102"/>
  <c r="K50" i="94"/>
  <c r="K49" i="95"/>
  <c r="I49" i="96"/>
  <c r="H49" i="94"/>
  <c r="J48" i="94"/>
  <c r="Z19" i="113" s="1"/>
  <c r="I50" i="94"/>
  <c r="G28" i="115" a="1"/>
  <c r="G28" i="115" s="1"/>
  <c r="K51" i="115" s="1"/>
  <c r="K51" i="98"/>
  <c r="H48" i="104"/>
  <c r="L16" i="113" s="1"/>
  <c r="J51" i="96"/>
  <c r="J51" i="103"/>
  <c r="H50" i="103"/>
  <c r="K48" i="96"/>
  <c r="V18" i="113" s="1"/>
  <c r="AB18" i="113" s="1"/>
  <c r="J48" i="95"/>
  <c r="X19" i="113" s="1"/>
  <c r="H48" i="96"/>
  <c r="V16" i="113" s="1"/>
  <c r="AB16" i="113" s="1"/>
  <c r="K48" i="95"/>
  <c r="X18" i="113" s="1"/>
  <c r="E26" i="115" a="1"/>
  <c r="E26" i="115" s="1"/>
  <c r="I49" i="98"/>
  <c r="K51" i="103"/>
  <c r="K48" i="103"/>
  <c r="P18" i="113" s="1"/>
  <c r="J48" i="96"/>
  <c r="V19" i="113" s="1"/>
  <c r="D27" i="115" a="1"/>
  <c r="D27" i="115" s="1"/>
  <c r="H50" i="115" s="1"/>
  <c r="H50" i="98"/>
  <c r="K51" i="95"/>
  <c r="J51" i="95"/>
  <c r="G27" i="115" a="1"/>
  <c r="G27" i="115" s="1"/>
  <c r="K50" i="98"/>
  <c r="E28" i="115" a="1"/>
  <c r="E28" i="115" s="1"/>
  <c r="I51" i="115" s="1"/>
  <c r="I51" i="98"/>
  <c r="H49" i="100"/>
  <c r="K50" i="102"/>
  <c r="J50" i="104"/>
  <c r="K50" i="103"/>
  <c r="J51" i="102"/>
  <c r="K48" i="102"/>
  <c r="T18" i="113" s="1"/>
  <c r="I51" i="103"/>
  <c r="H48" i="103"/>
  <c r="P16" i="113" s="1"/>
  <c r="J48" i="102"/>
  <c r="T19" i="113" s="1"/>
  <c r="T17" i="113" s="1"/>
  <c r="K19" i="122" s="1"/>
  <c r="H48" i="95"/>
  <c r="X16" i="113" s="1"/>
  <c r="F28" i="115" a="1"/>
  <c r="F28" i="115" s="1"/>
  <c r="J51" i="115" s="1"/>
  <c r="J51" i="98"/>
  <c r="J51" i="100"/>
  <c r="H49" i="102"/>
  <c r="K48" i="94"/>
  <c r="Z18" i="113" s="1"/>
  <c r="J50" i="102"/>
  <c r="J48" i="104"/>
  <c r="L19" i="113" s="1"/>
  <c r="I49" i="94"/>
  <c r="H49" i="96"/>
  <c r="I50" i="104"/>
  <c r="K51" i="94"/>
  <c r="J50" i="94"/>
  <c r="K51" i="102"/>
  <c r="J49" i="104"/>
  <c r="I49" i="100"/>
  <c r="H51" i="96"/>
  <c r="J49" i="96"/>
  <c r="I51" i="102"/>
  <c r="I48" i="103"/>
  <c r="P15" i="113" s="1"/>
  <c r="K49" i="96"/>
  <c r="K49" i="100"/>
  <c r="J51" i="104"/>
  <c r="K49" i="94"/>
  <c r="I51" i="94"/>
  <c r="K49" i="102"/>
  <c r="F25" i="115" a="1"/>
  <c r="F25" i="115" s="1"/>
  <c r="J48" i="98"/>
  <c r="J48" i="103"/>
  <c r="P19" i="113" s="1"/>
  <c r="J49" i="100"/>
  <c r="H48" i="102"/>
  <c r="T16" i="113" s="1"/>
  <c r="T14" i="113" s="1"/>
  <c r="H50" i="104"/>
  <c r="H49" i="95"/>
  <c r="I50" i="96"/>
  <c r="F27" i="115" a="1"/>
  <c r="F27" i="115" s="1"/>
  <c r="J50" i="98"/>
  <c r="J49" i="94"/>
  <c r="I51" i="95"/>
  <c r="I48" i="96"/>
  <c r="V15" i="113" s="1"/>
  <c r="K49" i="103"/>
  <c r="K50" i="96"/>
  <c r="I49" i="102"/>
  <c r="K48" i="104"/>
  <c r="L18" i="113" s="1"/>
  <c r="I50" i="103"/>
  <c r="H50" i="100"/>
  <c r="I48" i="95"/>
  <c r="X15" i="113" s="1"/>
  <c r="X14" i="113" s="1"/>
  <c r="K51" i="96"/>
  <c r="K51" i="104"/>
  <c r="H51" i="104"/>
  <c r="K50" i="95"/>
  <c r="G26" i="115" a="1"/>
  <c r="G26" i="115" s="1"/>
  <c r="K49" i="98"/>
  <c r="G25" i="115" a="1"/>
  <c r="G25" i="115" s="1"/>
  <c r="K48" i="98"/>
  <c r="I50" i="102"/>
  <c r="J50" i="96"/>
  <c r="F26" i="115" a="1"/>
  <c r="F26" i="115" s="1"/>
  <c r="J49" i="98"/>
  <c r="I51" i="96"/>
  <c r="E25" i="115" a="1"/>
  <c r="E25" i="115" s="1"/>
  <c r="I48" i="115" s="1"/>
  <c r="D15" i="113" s="1"/>
  <c r="I48" i="98"/>
  <c r="H51" i="61"/>
  <c r="I48" i="61"/>
  <c r="H15" i="113" s="1"/>
  <c r="H49" i="61"/>
  <c r="J49" i="99"/>
  <c r="H51" i="99"/>
  <c r="I51" i="61"/>
  <c r="I51" i="99"/>
  <c r="H49" i="99"/>
  <c r="H50" i="61"/>
  <c r="I50" i="99"/>
  <c r="J50" i="61"/>
  <c r="I49" i="61"/>
  <c r="K51" i="61"/>
  <c r="J49" i="61"/>
  <c r="K50" i="61"/>
  <c r="K49" i="99"/>
  <c r="I50" i="61"/>
  <c r="J51" i="99"/>
  <c r="H48" i="99"/>
  <c r="F16" i="113" s="1"/>
  <c r="I49" i="99"/>
  <c r="K51" i="99"/>
  <c r="J51" i="61"/>
  <c r="K50" i="99"/>
  <c r="H50" i="99"/>
  <c r="J50" i="99"/>
  <c r="J48" i="61"/>
  <c r="H19" i="113" s="1"/>
  <c r="H48" i="61"/>
  <c r="H16" i="113" s="1"/>
  <c r="J48" i="99"/>
  <c r="F19" i="113" s="1"/>
  <c r="K48" i="61"/>
  <c r="H18" i="113" s="1"/>
  <c r="K48" i="99"/>
  <c r="F18" i="113" s="1"/>
  <c r="K49" i="61"/>
  <c r="I48" i="99"/>
  <c r="F15" i="113" s="1"/>
  <c r="K48" i="115" l="1"/>
  <c r="D18" i="113" s="1"/>
  <c r="J48" i="115"/>
  <c r="D19" i="113" s="1"/>
  <c r="D17" i="113" s="1"/>
  <c r="C19" i="122" s="1"/>
  <c r="K50" i="115"/>
  <c r="K18" i="122"/>
  <c r="K20" i="122" s="1"/>
  <c r="T25" i="113"/>
  <c r="J49" i="115"/>
  <c r="I50" i="115"/>
  <c r="P17" i="113"/>
  <c r="L19" i="122" s="1"/>
  <c r="V14" i="113"/>
  <c r="V25" i="113" s="1"/>
  <c r="AB15" i="113"/>
  <c r="AB14" i="113" s="1"/>
  <c r="H48" i="115"/>
  <c r="D16" i="113" s="1"/>
  <c r="D14" i="113" s="1"/>
  <c r="K49" i="115"/>
  <c r="J50" i="115"/>
  <c r="I49" i="115"/>
  <c r="N14" i="113"/>
  <c r="V17" i="113"/>
  <c r="AB19" i="113"/>
  <c r="AB17" i="113" s="1"/>
  <c r="I19" i="122" s="1"/>
  <c r="P14" i="113"/>
  <c r="Z17" i="113"/>
  <c r="Z25" i="113" s="1"/>
  <c r="X17" i="113"/>
  <c r="X25" i="113" s="1"/>
  <c r="F17" i="113"/>
  <c r="D19" i="122" s="1"/>
  <c r="F14" i="113"/>
  <c r="D18" i="122" s="1"/>
  <c r="H17" i="113"/>
  <c r="J19" i="122" s="1"/>
  <c r="H14" i="113"/>
  <c r="J18" i="122" s="1"/>
  <c r="C18" i="122" l="1"/>
  <c r="C20" i="122" s="1"/>
  <c r="D25" i="113"/>
  <c r="I18" i="122"/>
  <c r="I20" i="122" s="1"/>
  <c r="AB25" i="113"/>
  <c r="L18" i="122"/>
  <c r="L20" i="122" s="1"/>
  <c r="P25" i="113"/>
  <c r="E18" i="122"/>
  <c r="E20" i="122" s="1"/>
  <c r="N25" i="113"/>
  <c r="D20" i="122"/>
  <c r="F25" i="113"/>
  <c r="J20" i="122"/>
  <c r="H25" i="113"/>
  <c r="H49" i="101" l="1"/>
  <c r="H50" i="101"/>
  <c r="H48" i="101"/>
  <c r="H51" i="101"/>
  <c r="J48" i="101"/>
  <c r="J51" i="101"/>
  <c r="J49" i="101"/>
  <c r="J50" i="101"/>
  <c r="L17" i="113" l="1"/>
  <c r="L14" i="113"/>
  <c r="L25" i="113" l="1"/>
  <c r="H19" i="122"/>
  <c r="H18" i="122"/>
  <c r="J17" i="113" l="1"/>
  <c r="G19" i="122" s="1"/>
  <c r="J14" i="113"/>
  <c r="G18" i="122" s="1"/>
  <c r="H20" i="122"/>
  <c r="J20" i="113"/>
  <c r="G20" i="122" l="1"/>
  <c r="J25" i="113"/>
  <c r="C18" i="92" l="1"/>
  <c r="C19" i="92"/>
  <c r="D182" i="92" l="1"/>
  <c r="D177" i="92"/>
  <c r="U22" i="113" s="1"/>
  <c r="D115" i="92"/>
  <c r="D49" i="92" s="1"/>
  <c r="D98" i="92"/>
  <c r="D111" i="92"/>
  <c r="D45" i="92" s="1"/>
  <c r="D147" i="92"/>
  <c r="W21" i="113" s="1"/>
  <c r="D109" i="92"/>
  <c r="D43" i="92" s="1"/>
  <c r="D110" i="92"/>
  <c r="D44" i="92" s="1"/>
  <c r="D101" i="92"/>
  <c r="K21" i="113" s="1"/>
  <c r="D127" i="92"/>
  <c r="D61" i="92" s="1"/>
  <c r="D129" i="92"/>
  <c r="D63" i="92" s="1"/>
  <c r="D95" i="92"/>
  <c r="D132" i="92"/>
  <c r="D68" i="92" s="1"/>
  <c r="D142" i="92"/>
  <c r="D78" i="92" s="1"/>
  <c r="D139" i="92"/>
  <c r="D75" i="92" s="1"/>
  <c r="D135" i="92"/>
  <c r="S21" i="113" s="1"/>
  <c r="S20" i="113" s="1"/>
  <c r="S25" i="113" s="1"/>
  <c r="D128" i="92"/>
  <c r="D62" i="92" s="1"/>
  <c r="D106" i="92"/>
  <c r="D40" i="92" s="1"/>
  <c r="D112" i="92"/>
  <c r="D46" i="92" s="1"/>
  <c r="D125" i="92"/>
  <c r="D59" i="92" s="1"/>
  <c r="D99" i="92"/>
  <c r="M21" i="113" s="1"/>
  <c r="D136" i="92"/>
  <c r="D72" i="92" s="1"/>
  <c r="D144" i="92"/>
  <c r="D80" i="92" s="1"/>
  <c r="D140" i="92"/>
  <c r="D76" i="92" s="1"/>
  <c r="D119" i="92"/>
  <c r="D53" i="92" s="1"/>
  <c r="D149" i="92"/>
  <c r="AA21" i="113" s="1"/>
  <c r="D143" i="92"/>
  <c r="D79" i="92" s="1"/>
  <c r="D120" i="92"/>
  <c r="D54" i="92" s="1"/>
  <c r="D113" i="92"/>
  <c r="D148" i="92"/>
  <c r="Y21" i="113" s="1"/>
  <c r="D117" i="92"/>
  <c r="D51" i="92" s="1"/>
  <c r="D124" i="92"/>
  <c r="D58" i="92" s="1"/>
  <c r="D137" i="92"/>
  <c r="D73" i="92" s="1"/>
  <c r="D96" i="92"/>
  <c r="E21" i="113" s="1"/>
  <c r="D97" i="92"/>
  <c r="D102" i="92"/>
  <c r="O21" i="113" s="1"/>
  <c r="D126" i="92"/>
  <c r="D60" i="92" s="1"/>
  <c r="D141" i="92"/>
  <c r="D77" i="92" s="1"/>
  <c r="D107" i="92"/>
  <c r="D41" i="92" s="1"/>
  <c r="D100" i="92"/>
  <c r="Q21" i="113" s="1"/>
  <c r="D122" i="92"/>
  <c r="D56" i="92" s="1"/>
  <c r="D114" i="92"/>
  <c r="D48" i="92" s="1"/>
  <c r="D123" i="92"/>
  <c r="D57" i="92" s="1"/>
  <c r="D121" i="92"/>
  <c r="D55" i="92" s="1"/>
  <c r="D116" i="92"/>
  <c r="D50" i="92" s="1"/>
  <c r="D118" i="92"/>
  <c r="D52" i="92" s="1"/>
  <c r="D108" i="92"/>
  <c r="D42" i="92" s="1"/>
  <c r="D138" i="92"/>
  <c r="D74" i="92" s="1"/>
  <c r="D181" i="92"/>
  <c r="Y22" i="113" s="1"/>
  <c r="D167" i="92"/>
  <c r="O22" i="113" s="1"/>
  <c r="D162" i="92"/>
  <c r="D164" i="92"/>
  <c r="D175" i="92"/>
  <c r="D66" i="92" s="1"/>
  <c r="D160" i="92"/>
  <c r="D174" i="92"/>
  <c r="D36" i="92" s="1"/>
  <c r="D71" i="92"/>
  <c r="D163" i="92"/>
  <c r="D176" i="92"/>
  <c r="D67" i="92" s="1"/>
  <c r="D161" i="92"/>
  <c r="E22" i="113" s="1"/>
  <c r="D180" i="92"/>
  <c r="W22" i="113" s="1"/>
  <c r="D166" i="92"/>
  <c r="K22" i="113" s="1"/>
  <c r="D165" i="92"/>
  <c r="Q22" i="113" s="1"/>
  <c r="D171" i="92"/>
  <c r="AA22" i="113"/>
  <c r="H193" i="128" l="1"/>
  <c r="G193" i="128" s="1"/>
  <c r="H216" i="128"/>
  <c r="G216" i="128" s="1"/>
  <c r="H218" i="128"/>
  <c r="G218" i="128" s="1"/>
  <c r="H211" i="128"/>
  <c r="G211" i="128" s="1"/>
  <c r="H222" i="128"/>
  <c r="G222" i="128" s="1"/>
  <c r="H208" i="128"/>
  <c r="G208" i="128" s="1"/>
  <c r="H187" i="128"/>
  <c r="G187" i="128" s="1"/>
  <c r="H197" i="128"/>
  <c r="G197" i="128" s="1"/>
  <c r="H214" i="128"/>
  <c r="G214" i="128" s="1"/>
  <c r="H206" i="128"/>
  <c r="G206" i="128" s="1"/>
  <c r="H195" i="128"/>
  <c r="G195" i="128" s="1"/>
  <c r="H215" i="128"/>
  <c r="G215" i="128" s="1"/>
  <c r="H200" i="128"/>
  <c r="G200" i="128" s="1"/>
  <c r="H203" i="128"/>
  <c r="G203" i="128" s="1"/>
  <c r="H204" i="128"/>
  <c r="G204" i="128" s="1"/>
  <c r="H189" i="128"/>
  <c r="G189" i="128" s="1"/>
  <c r="H202" i="128"/>
  <c r="G202" i="128" s="1"/>
  <c r="H196" i="128"/>
  <c r="G196" i="128" s="1"/>
  <c r="H191" i="128"/>
  <c r="G191" i="128" s="1"/>
  <c r="H188" i="128"/>
  <c r="G188" i="128" s="1"/>
  <c r="H185" i="128"/>
  <c r="G185" i="128" s="1"/>
  <c r="H201" i="128"/>
  <c r="G201" i="128" s="1"/>
  <c r="H207" i="128"/>
  <c r="G207" i="128" s="1"/>
  <c r="H190" i="128"/>
  <c r="G190" i="128" s="1"/>
  <c r="H210" i="128"/>
  <c r="G210" i="128" s="1"/>
  <c r="H199" i="128"/>
  <c r="G199" i="128" s="1"/>
  <c r="H186" i="128"/>
  <c r="G186" i="128" s="1"/>
  <c r="H221" i="128"/>
  <c r="G221" i="128" s="1"/>
  <c r="H217" i="128"/>
  <c r="G217" i="128" s="1"/>
  <c r="H194" i="128"/>
  <c r="G194" i="128" s="1"/>
  <c r="H209" i="128"/>
  <c r="G209" i="128" s="1"/>
  <c r="H219" i="128"/>
  <c r="G219" i="128" s="1"/>
  <c r="H220" i="128"/>
  <c r="G220" i="128" s="1"/>
  <c r="E14" i="128" s="1"/>
  <c r="F14" i="128" s="1"/>
  <c r="H14" i="128" s="1"/>
  <c r="H213" i="128"/>
  <c r="G213" i="128" s="1"/>
  <c r="H205" i="128"/>
  <c r="G205" i="128" s="1"/>
  <c r="H198" i="128"/>
  <c r="G198" i="128" s="1"/>
  <c r="H212" i="128"/>
  <c r="G212" i="128" s="1"/>
  <c r="I21" i="113"/>
  <c r="D31" i="92"/>
  <c r="D29" i="92"/>
  <c r="D85" i="92"/>
  <c r="D32" i="92"/>
  <c r="K20" i="113"/>
  <c r="E20" i="113"/>
  <c r="D34" i="92"/>
  <c r="O20" i="113"/>
  <c r="D28" i="92"/>
  <c r="D35" i="92"/>
  <c r="C166" i="92"/>
  <c r="C34" i="92" s="1"/>
  <c r="AA20" i="113"/>
  <c r="AA25" i="113" s="1"/>
  <c r="Q20" i="113"/>
  <c r="U21" i="113"/>
  <c r="U20" i="113" s="1"/>
  <c r="G21" i="113"/>
  <c r="I22" i="113"/>
  <c r="D47" i="92"/>
  <c r="W20" i="113"/>
  <c r="W25" i="113" s="1"/>
  <c r="Y20" i="113"/>
  <c r="Y25" i="113" s="1"/>
  <c r="D183" i="92"/>
  <c r="AC22" i="113" s="1"/>
  <c r="D84" i="92"/>
  <c r="D83" i="92"/>
  <c r="M22" i="113"/>
  <c r="M20" i="113" s="1"/>
  <c r="M25" i="113" s="1"/>
  <c r="D150" i="92"/>
  <c r="C150" i="92" s="1"/>
  <c r="D30" i="92"/>
  <c r="G22" i="113"/>
  <c r="D33" i="92"/>
  <c r="C165" i="92"/>
  <c r="C33" i="92" s="1"/>
  <c r="E12" i="128" l="1"/>
  <c r="F12" i="128" s="1"/>
  <c r="H12" i="128" s="1"/>
  <c r="Q25" i="113"/>
  <c r="U25" i="113"/>
  <c r="O25" i="113"/>
  <c r="E25" i="113"/>
  <c r="K25" i="113"/>
  <c r="E15" i="128"/>
  <c r="F15" i="128" s="1"/>
  <c r="I20" i="113"/>
  <c r="H192" i="128"/>
  <c r="G192" i="128" s="1"/>
  <c r="E13" i="128" s="1"/>
  <c r="F13" i="128" s="1"/>
  <c r="H13" i="128" s="1"/>
  <c r="G14" i="122"/>
  <c r="E14" i="122"/>
  <c r="E23" i="122" s="1"/>
  <c r="L14" i="122"/>
  <c r="D86" i="92"/>
  <c r="C86" i="92" s="1"/>
  <c r="K14" i="122"/>
  <c r="C14" i="122"/>
  <c r="H14" i="122"/>
  <c r="G20" i="113"/>
  <c r="G25" i="113" s="1"/>
  <c r="AC21" i="113"/>
  <c r="AC20" i="113" s="1"/>
  <c r="AC25" i="113" s="1"/>
  <c r="C183" i="92"/>
  <c r="I25" i="113" l="1"/>
  <c r="J14" i="122"/>
  <c r="G23" i="122"/>
  <c r="G25" i="122" s="1"/>
  <c r="H15" i="128"/>
  <c r="L23" i="122"/>
  <c r="L25" i="122" s="1"/>
  <c r="C23" i="122"/>
  <c r="H23" i="122"/>
  <c r="K23" i="122"/>
  <c r="I14" i="122"/>
  <c r="I23" i="122" s="1"/>
  <c r="E25" i="122"/>
  <c r="J23" i="122" l="1"/>
  <c r="C25" i="122"/>
  <c r="H25" i="122"/>
  <c r="K25" i="122"/>
  <c r="D14" i="122"/>
  <c r="I25" i="122"/>
  <c r="J25" i="122" l="1"/>
  <c r="D23" i="122"/>
  <c r="D25" i="12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Ian Donaldson</author>
  </authors>
  <commentList>
    <comment ref="K16" authorId="0" shapeId="0" xr:uid="{FB7C6D80-3C3F-4E64-8E30-167B7879CFBE}">
      <text>
        <r>
          <rPr>
            <b/>
            <sz val="9"/>
            <color indexed="81"/>
            <rFont val="Tahoma"/>
            <family val="2"/>
          </rPr>
          <t>Ian Donaldson:</t>
        </r>
        <r>
          <rPr>
            <sz val="9"/>
            <color indexed="81"/>
            <rFont val="Tahoma"/>
            <family val="2"/>
          </rPr>
          <t xml:space="preserve">
Area for potential refinement</t>
        </r>
      </text>
    </comment>
    <comment ref="K17" authorId="0" shapeId="0" xr:uid="{48EEC7D0-429D-4F85-9F14-4712D5309EB0}">
      <text>
        <r>
          <rPr>
            <b/>
            <sz val="9"/>
            <color indexed="81"/>
            <rFont val="Tahoma"/>
            <family val="2"/>
          </rPr>
          <t>Ian Donaldson:</t>
        </r>
        <r>
          <rPr>
            <sz val="9"/>
            <color indexed="81"/>
            <rFont val="Tahoma"/>
            <family val="2"/>
          </rPr>
          <t xml:space="preserve">
Area for potential refinement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<sst xmlns="http://schemas.openxmlformats.org/spreadsheetml/2006/main" count="5261" uniqueCount="327">
  <si>
    <t>Company Name:</t>
  </si>
  <si>
    <t>U. S. Steel Corp.</t>
  </si>
  <si>
    <t>Published Emission Factor "Safety Margin"</t>
  </si>
  <si>
    <t>Site Name:</t>
  </si>
  <si>
    <t>Irvin Plant</t>
  </si>
  <si>
    <t>Description:</t>
  </si>
  <si>
    <t>Boiler Installation Permit</t>
  </si>
  <si>
    <t>Production Data</t>
  </si>
  <si>
    <t>Unit ID</t>
  </si>
  <si>
    <t>Source Description</t>
  </si>
  <si>
    <t>Control Device</t>
  </si>
  <si>
    <t>Max. Capacity/Rate</t>
  </si>
  <si>
    <t>Operating Hours</t>
  </si>
  <si>
    <t>PAE Throughput</t>
  </si>
  <si>
    <t>B001</t>
  </si>
  <si>
    <t>Boiler No. 1</t>
  </si>
  <si>
    <t>None</t>
  </si>
  <si>
    <t>MMBtu/hr</t>
  </si>
  <si>
    <t>hours/year</t>
  </si>
  <si>
    <t>MMBtu/yr</t>
  </si>
  <si>
    <t>Assuming 2024</t>
  </si>
  <si>
    <t>B002</t>
  </si>
  <si>
    <t>Boiler No. 2</t>
  </si>
  <si>
    <t>B003</t>
  </si>
  <si>
    <t>Boiler No. 3</t>
  </si>
  <si>
    <t>Shut down</t>
  </si>
  <si>
    <t>B004</t>
  </si>
  <si>
    <t>Boiler No. 4</t>
  </si>
  <si>
    <t>B005</t>
  </si>
  <si>
    <t>Boiler No. 5</t>
  </si>
  <si>
    <t>LNB/FGR</t>
  </si>
  <si>
    <t>Natural Gas</t>
  </si>
  <si>
    <t>Coke Oven Gas</t>
  </si>
  <si>
    <t>Fuel Characteristics</t>
  </si>
  <si>
    <t>Fuel Type</t>
  </si>
  <si>
    <t>Parameter</t>
  </si>
  <si>
    <t>Value</t>
  </si>
  <si>
    <t>Units</t>
  </si>
  <si>
    <t>Source</t>
  </si>
  <si>
    <t>Heating Value</t>
  </si>
  <si>
    <t>Btu/scf</t>
  </si>
  <si>
    <t>Max Heating Value per prior TVR Application</t>
  </si>
  <si>
    <t>New Boiler Factors</t>
  </si>
  <si>
    <t>Constituent</t>
  </si>
  <si>
    <t>Natural Gas Emission Factor</t>
  </si>
  <si>
    <t>Coke Oven Gas Emission Factor</t>
  </si>
  <si>
    <t>(lb/MMBtu)</t>
  </si>
  <si>
    <t>NOx</t>
  </si>
  <si>
    <t>CO</t>
  </si>
  <si>
    <t>50 ppm CO converted to lb/MMBtu</t>
  </si>
  <si>
    <t>Constants</t>
  </si>
  <si>
    <r>
      <t xml:space="preserve">Global Warming Potentials </t>
    </r>
    <r>
      <rPr>
        <b/>
        <vertAlign val="superscript"/>
        <sz val="10"/>
        <color theme="1"/>
        <rFont val="Arial Narrow"/>
        <family val="2"/>
      </rPr>
      <t>3</t>
    </r>
  </si>
  <si>
    <r>
      <t>CO</t>
    </r>
    <r>
      <rPr>
        <vertAlign val="subscript"/>
        <sz val="10"/>
        <color theme="1"/>
        <rFont val="Arial Narrow"/>
        <family val="2"/>
      </rPr>
      <t>2</t>
    </r>
  </si>
  <si>
    <r>
      <t>CH</t>
    </r>
    <r>
      <rPr>
        <vertAlign val="subscript"/>
        <sz val="10"/>
        <color theme="1"/>
        <rFont val="Arial Narrow"/>
        <family val="2"/>
      </rPr>
      <t>4</t>
    </r>
  </si>
  <si>
    <r>
      <t>N</t>
    </r>
    <r>
      <rPr>
        <vertAlign val="subscript"/>
        <sz val="10"/>
        <color theme="1"/>
        <rFont val="Arial Narrow"/>
        <family val="2"/>
      </rPr>
      <t>2</t>
    </r>
    <r>
      <rPr>
        <sz val="10"/>
        <color theme="1"/>
        <rFont val="Arial Narrow"/>
        <family val="2"/>
      </rPr>
      <t>O</t>
    </r>
  </si>
  <si>
    <r>
      <rPr>
        <vertAlign val="superscript"/>
        <sz val="10"/>
        <color theme="1"/>
        <rFont val="Arial Narrow"/>
        <family val="2"/>
      </rPr>
      <t>3</t>
    </r>
    <r>
      <rPr>
        <sz val="10"/>
        <color theme="1"/>
        <rFont val="Arial Narrow"/>
        <family val="2"/>
      </rPr>
      <t xml:space="preserve"> GHGs are calculated in CO</t>
    </r>
    <r>
      <rPr>
        <vertAlign val="subscript"/>
        <sz val="10"/>
        <color theme="1"/>
        <rFont val="Arial Narrow"/>
        <family val="2"/>
      </rPr>
      <t>2</t>
    </r>
    <r>
      <rPr>
        <sz val="10"/>
        <color theme="1"/>
        <rFont val="Arial Narrow"/>
        <family val="2"/>
      </rPr>
      <t>e using Global Warming Potentials (GWP) from 40 CFR 98, Subpart A, Table A-1 and the following equation:</t>
    </r>
  </si>
  <si>
    <r>
      <t>CO</t>
    </r>
    <r>
      <rPr>
        <vertAlign val="subscript"/>
        <sz val="10"/>
        <color indexed="8"/>
        <rFont val="Arial Narrow"/>
        <family val="2"/>
      </rPr>
      <t>2</t>
    </r>
    <r>
      <rPr>
        <sz val="10"/>
        <color indexed="8"/>
        <rFont val="Arial Narrow"/>
        <family val="2"/>
      </rPr>
      <t>e (tpy) = CO</t>
    </r>
    <r>
      <rPr>
        <vertAlign val="subscript"/>
        <sz val="10"/>
        <color indexed="8"/>
        <rFont val="Arial Narrow"/>
        <family val="2"/>
      </rPr>
      <t>2</t>
    </r>
    <r>
      <rPr>
        <sz val="10"/>
        <color indexed="8"/>
        <rFont val="Arial Narrow"/>
        <family val="2"/>
      </rPr>
      <t xml:space="preserve"> (tpy) * CO</t>
    </r>
    <r>
      <rPr>
        <vertAlign val="subscript"/>
        <sz val="10"/>
        <color indexed="8"/>
        <rFont val="Arial Narrow"/>
        <family val="2"/>
      </rPr>
      <t>2</t>
    </r>
    <r>
      <rPr>
        <sz val="10"/>
        <color indexed="8"/>
        <rFont val="Arial Narrow"/>
        <family val="2"/>
      </rPr>
      <t xml:space="preserve"> GWP (1) + CH</t>
    </r>
    <r>
      <rPr>
        <vertAlign val="subscript"/>
        <sz val="10"/>
        <color indexed="8"/>
        <rFont val="Arial Narrow"/>
        <family val="2"/>
      </rPr>
      <t>4</t>
    </r>
    <r>
      <rPr>
        <sz val="10"/>
        <color indexed="8"/>
        <rFont val="Arial Narrow"/>
        <family val="2"/>
      </rPr>
      <t xml:space="preserve"> (tpy) * CH</t>
    </r>
    <r>
      <rPr>
        <vertAlign val="subscript"/>
        <sz val="10"/>
        <color indexed="8"/>
        <rFont val="Arial Narrow"/>
        <family val="2"/>
      </rPr>
      <t>4</t>
    </r>
    <r>
      <rPr>
        <sz val="10"/>
        <color indexed="8"/>
        <rFont val="Arial Narrow"/>
        <family val="2"/>
      </rPr>
      <t xml:space="preserve"> GWP (28) + N</t>
    </r>
    <r>
      <rPr>
        <vertAlign val="subscript"/>
        <sz val="10"/>
        <color indexed="8"/>
        <rFont val="Arial Narrow"/>
        <family val="2"/>
      </rPr>
      <t>2</t>
    </r>
    <r>
      <rPr>
        <sz val="10"/>
        <color indexed="8"/>
        <rFont val="Arial Narrow"/>
        <family val="2"/>
      </rPr>
      <t>O (tpy) * N</t>
    </r>
    <r>
      <rPr>
        <vertAlign val="subscript"/>
        <sz val="10"/>
        <color indexed="8"/>
        <rFont val="Arial Narrow"/>
        <family val="2"/>
      </rPr>
      <t>2</t>
    </r>
    <r>
      <rPr>
        <sz val="10"/>
        <color indexed="8"/>
        <rFont val="Arial Narrow"/>
        <family val="2"/>
      </rPr>
      <t>O GWP (265)</t>
    </r>
  </si>
  <si>
    <t>Grains S equiv. est. / 100 scf COG:</t>
  </si>
  <si>
    <t>New Boiler PTE Factor:</t>
  </si>
  <si>
    <t>***Molecular Weight of SO2</t>
  </si>
  <si>
    <t>****Molecular Weight of S</t>
  </si>
  <si>
    <t>Baseline:</t>
  </si>
  <si>
    <t xml:space="preserve">Potential Emissions (tpy) </t>
  </si>
  <si>
    <t>Emission Unit/Pollutant</t>
  </si>
  <si>
    <t>PM (filterable)</t>
  </si>
  <si>
    <t>PM10</t>
  </si>
  <si>
    <t>Lead</t>
  </si>
  <si>
    <r>
      <t>SO</t>
    </r>
    <r>
      <rPr>
        <vertAlign val="subscript"/>
        <sz val="10"/>
        <rFont val="Arial Narrow"/>
        <family val="2"/>
      </rPr>
      <t>2</t>
    </r>
  </si>
  <si>
    <t>CO2e</t>
  </si>
  <si>
    <t>PM2.5</t>
  </si>
  <si>
    <t>NH3</t>
  </si>
  <si>
    <t>VOC</t>
  </si>
  <si>
    <t xml:space="preserve">Baseline Actual Emission Reductions (tpy) </t>
  </si>
  <si>
    <t>Total</t>
  </si>
  <si>
    <t>Total (new - shutdowns)</t>
  </si>
  <si>
    <t>NSR SER*</t>
  </si>
  <si>
    <t>Increase &gt; SER? Trigger Netting</t>
  </si>
  <si>
    <r>
      <t>*Per 40 CFR 52.21(b)(49)(iv)(B), the 75,000 tpy CO</t>
    </r>
    <r>
      <rPr>
        <vertAlign val="subscript"/>
        <sz val="10.5"/>
        <rFont val="Arial Narrow"/>
        <family val="2"/>
      </rPr>
      <t>2</t>
    </r>
    <r>
      <rPr>
        <sz val="10.5"/>
        <rFont val="Arial Narrow"/>
        <family val="2"/>
      </rPr>
      <t>e threshold is only applicable for existing major stationary sources if there is also a significant emissions increase of a regulated NSR pollutant, which is not the case for this project</t>
    </r>
  </si>
  <si>
    <t>`</t>
  </si>
  <si>
    <t>Facility Name:</t>
  </si>
  <si>
    <t>Project Description:</t>
  </si>
  <si>
    <t>Column</t>
  </si>
  <si>
    <r>
      <t>PM</t>
    </r>
    <r>
      <rPr>
        <b/>
        <vertAlign val="subscript"/>
        <sz val="9"/>
        <color rgb="FF000000"/>
        <rFont val="Arial Narrow"/>
        <family val="2"/>
      </rPr>
      <t>10</t>
    </r>
  </si>
  <si>
    <r>
      <t>PM</t>
    </r>
    <r>
      <rPr>
        <b/>
        <vertAlign val="subscript"/>
        <sz val="9"/>
        <color rgb="FF000000"/>
        <rFont val="Arial Narrow"/>
        <family val="2"/>
      </rPr>
      <t>2.5</t>
    </r>
  </si>
  <si>
    <r>
      <t>SO</t>
    </r>
    <r>
      <rPr>
        <b/>
        <vertAlign val="subscript"/>
        <sz val="9"/>
        <color rgb="FF000000"/>
        <rFont val="Arial Narrow"/>
        <family val="2"/>
      </rPr>
      <t>2</t>
    </r>
  </si>
  <si>
    <r>
      <t>NO</t>
    </r>
    <r>
      <rPr>
        <b/>
        <vertAlign val="subscript"/>
        <sz val="9"/>
        <color rgb="FF000000"/>
        <rFont val="Arial Narrow"/>
        <family val="2"/>
      </rPr>
      <t>x</t>
    </r>
  </si>
  <si>
    <r>
      <t>NH</t>
    </r>
    <r>
      <rPr>
        <b/>
        <vertAlign val="subscript"/>
        <sz val="9"/>
        <color rgb="FF000000"/>
        <rFont val="Arial Narrow"/>
        <family val="2"/>
      </rPr>
      <t>3</t>
    </r>
  </si>
  <si>
    <r>
      <t>CO</t>
    </r>
    <r>
      <rPr>
        <b/>
        <vertAlign val="subscript"/>
        <sz val="9"/>
        <color rgb="FF000000"/>
        <rFont val="Arial Narrow"/>
        <family val="2"/>
      </rPr>
      <t>2</t>
    </r>
  </si>
  <si>
    <r>
      <t>CH</t>
    </r>
    <r>
      <rPr>
        <b/>
        <vertAlign val="subscript"/>
        <sz val="9"/>
        <color rgb="FF000000"/>
        <rFont val="Arial Narrow"/>
        <family val="2"/>
      </rPr>
      <t>4</t>
    </r>
  </si>
  <si>
    <r>
      <t>N</t>
    </r>
    <r>
      <rPr>
        <b/>
        <vertAlign val="subscript"/>
        <sz val="9"/>
        <color rgb="FF000000"/>
        <rFont val="Arial Narrow"/>
        <family val="2"/>
      </rPr>
      <t>2</t>
    </r>
    <r>
      <rPr>
        <b/>
        <sz val="9"/>
        <color rgb="FF000000"/>
        <rFont val="Arial Narrow"/>
        <family val="2"/>
      </rPr>
      <t>O</t>
    </r>
  </si>
  <si>
    <r>
      <t>CO</t>
    </r>
    <r>
      <rPr>
        <b/>
        <vertAlign val="subscript"/>
        <sz val="9"/>
        <color rgb="FF000000"/>
        <rFont val="Arial Narrow"/>
        <family val="2"/>
      </rPr>
      <t>2</t>
    </r>
    <r>
      <rPr>
        <b/>
        <sz val="9"/>
        <color rgb="FF000000"/>
        <rFont val="Arial Narrow"/>
        <family val="2"/>
      </rPr>
      <t>e</t>
    </r>
  </si>
  <si>
    <t>Unit Description</t>
  </si>
  <si>
    <t>BAE (tpy)</t>
  </si>
  <si>
    <t>PAE (tpy)</t>
  </si>
  <si>
    <t>Q</t>
  </si>
  <si>
    <t>Natural Gas Combustion</t>
  </si>
  <si>
    <t>P</t>
  </si>
  <si>
    <t>Coke Oven Gas Combustion</t>
  </si>
  <si>
    <t>S</t>
  </si>
  <si>
    <t>R</t>
  </si>
  <si>
    <t>Boiler No. 5 (New)</t>
  </si>
  <si>
    <t>PM</t>
  </si>
  <si>
    <t>TOTAL PROJECT EMISSIONS</t>
  </si>
  <si>
    <t xml:space="preserve"> </t>
  </si>
  <si>
    <t>Lookup Functions</t>
  </si>
  <si>
    <t>PM Simple</t>
  </si>
  <si>
    <t>PM10 Simple</t>
  </si>
  <si>
    <t>PM2.5 Simple</t>
  </si>
  <si>
    <t>SOx Simple</t>
  </si>
  <si>
    <t>NOx Simple</t>
  </si>
  <si>
    <t>CO Simple</t>
  </si>
  <si>
    <t>VOC Simple</t>
  </si>
  <si>
    <t>Lead Simple</t>
  </si>
  <si>
    <t>Ammonia Simple</t>
  </si>
  <si>
    <t>CO2 Simple</t>
  </si>
  <si>
    <t>Methane Simple</t>
  </si>
  <si>
    <t>N2O Simple</t>
  </si>
  <si>
    <t>Emission Unit</t>
  </si>
  <si>
    <t>Emission Unit ID</t>
  </si>
  <si>
    <t>TBD</t>
  </si>
  <si>
    <t>2104.02.a.3</t>
  </si>
  <si>
    <t>Stack ID</t>
  </si>
  <si>
    <t>Hours of Operation</t>
  </si>
  <si>
    <t>hrs/yr</t>
  </si>
  <si>
    <t>Fuel</t>
  </si>
  <si>
    <t>Article XXI Limit (lb/MMBtu)</t>
  </si>
  <si>
    <t>Usage (MMBtu/yr)</t>
  </si>
  <si>
    <t>Fraction</t>
  </si>
  <si>
    <t>N. Gas</t>
  </si>
  <si>
    <t>Max. Heat Input Rating</t>
  </si>
  <si>
    <t>COG</t>
  </si>
  <si>
    <t>MMscf/hr</t>
  </si>
  <si>
    <t>lb/MMBtu (annual average)</t>
  </si>
  <si>
    <t>MMscf/yr</t>
  </si>
  <si>
    <t>(based on user inputs)</t>
  </si>
  <si>
    <t>Combustion Emissions (All Fuels)</t>
  </si>
  <si>
    <t>Pollutant</t>
  </si>
  <si>
    <t>Potential 
Emissions
(lb/hr)</t>
  </si>
  <si>
    <t>Potential 
Emissions
(tpy)</t>
  </si>
  <si>
    <t>Emission 
Factor</t>
  </si>
  <si>
    <t>Emission Factor Units</t>
  </si>
  <si>
    <t>Emission Factor Source</t>
  </si>
  <si>
    <t>Criteria Pollutants:</t>
  </si>
  <si>
    <t>Filterable Particulate Matter (PM)</t>
  </si>
  <si>
    <t>---</t>
  </si>
  <si>
    <t>Max from All Fuels for Hourly, Sum of Fuels for Annual (see below)</t>
  </si>
  <si>
    <r>
      <t>Filt. Particulate Matter &lt;10 microns (PM</t>
    </r>
    <r>
      <rPr>
        <vertAlign val="subscript"/>
        <sz val="10"/>
        <rFont val="Arial Narrow"/>
        <family val="2"/>
      </rPr>
      <t>10</t>
    </r>
    <r>
      <rPr>
        <sz val="10"/>
        <rFont val="Arial Narrow"/>
        <family val="2"/>
      </rPr>
      <t>)</t>
    </r>
  </si>
  <si>
    <r>
      <t>Filt. Particulate Matter &lt; 2.5 microns (PM</t>
    </r>
    <r>
      <rPr>
        <vertAlign val="subscript"/>
        <sz val="10"/>
        <rFont val="Arial Narrow"/>
        <family val="2"/>
      </rPr>
      <t>2.5</t>
    </r>
    <r>
      <rPr>
        <sz val="10"/>
        <rFont val="Arial Narrow"/>
        <family val="2"/>
      </rPr>
      <t>)</t>
    </r>
  </si>
  <si>
    <t>Condensable Particulate Matter (CPM)</t>
  </si>
  <si>
    <r>
      <t>Nitrogen Oxides (NO</t>
    </r>
    <r>
      <rPr>
        <vertAlign val="subscript"/>
        <sz val="10"/>
        <rFont val="Arial Narrow"/>
        <family val="2"/>
      </rPr>
      <t>X</t>
    </r>
    <r>
      <rPr>
        <sz val="10"/>
        <rFont val="Arial Narrow"/>
        <family val="2"/>
      </rPr>
      <t>)</t>
    </r>
  </si>
  <si>
    <t>Volatile Organic Compounds (VOC)</t>
  </si>
  <si>
    <r>
      <t>Sulfur Dioxide (SO</t>
    </r>
    <r>
      <rPr>
        <vertAlign val="subscript"/>
        <sz val="10"/>
        <rFont val="Arial Narrow"/>
        <family val="2"/>
      </rPr>
      <t>2</t>
    </r>
    <r>
      <rPr>
        <sz val="10"/>
        <rFont val="Arial Narrow"/>
        <family val="2"/>
      </rPr>
      <t>)</t>
    </r>
  </si>
  <si>
    <t>Carbon Monoxide (CO)</t>
  </si>
  <si>
    <t>Hydrochloric Acid (HCl)</t>
  </si>
  <si>
    <t>Hazardous Air Pollutants:</t>
  </si>
  <si>
    <t>Organics</t>
  </si>
  <si>
    <t>2-Methylnaphthalene</t>
  </si>
  <si>
    <t>3-Methylchloranthrene</t>
  </si>
  <si>
    <t>7,12-Dimethylbenz(a)anthracene</t>
  </si>
  <si>
    <t>Acenaphthene</t>
  </si>
  <si>
    <t>Acenaphthylene</t>
  </si>
  <si>
    <t>Anthracene</t>
  </si>
  <si>
    <t>Benz(a)anthracene</t>
  </si>
  <si>
    <t>Benzene</t>
  </si>
  <si>
    <t>Benzo(a)pyrene</t>
  </si>
  <si>
    <t>Benzo(b)fluoranthene</t>
  </si>
  <si>
    <t>Benzo(g,h,i)perylene</t>
  </si>
  <si>
    <t>Benzo(k)fluoranthene</t>
  </si>
  <si>
    <t>Chrysene</t>
  </si>
  <si>
    <t>Dibenzo(a,h) anthracene</t>
  </si>
  <si>
    <t>Dichlorobenzene</t>
  </si>
  <si>
    <t>Fluoranthene</t>
  </si>
  <si>
    <t>Fluorene</t>
  </si>
  <si>
    <t>Formaldehyde</t>
  </si>
  <si>
    <t>n-Hexane</t>
  </si>
  <si>
    <t>Indo(1,2,3-cd)pyrene</t>
  </si>
  <si>
    <t>Naphthalene</t>
  </si>
  <si>
    <t>Phenanthrene</t>
  </si>
  <si>
    <t>Pyrene</t>
  </si>
  <si>
    <t>Toluene</t>
  </si>
  <si>
    <t>Inorganics</t>
  </si>
  <si>
    <r>
      <t>Carbon Disulfide (CS</t>
    </r>
    <r>
      <rPr>
        <vertAlign val="subscript"/>
        <sz val="10"/>
        <rFont val="Arial Narrow"/>
        <family val="2"/>
      </rPr>
      <t>2</t>
    </r>
    <r>
      <rPr>
        <sz val="10"/>
        <rFont val="Arial Narrow"/>
        <family val="2"/>
      </rPr>
      <t>)</t>
    </r>
  </si>
  <si>
    <t>Chlorine (Cl)</t>
  </si>
  <si>
    <t>Ammonia</t>
  </si>
  <si>
    <t>Metal HAPs</t>
  </si>
  <si>
    <t>Arsenic Compounds</t>
  </si>
  <si>
    <t>Beryllium Compounds</t>
  </si>
  <si>
    <t>Cadmium Compounds</t>
  </si>
  <si>
    <t>Chromium Compounds</t>
  </si>
  <si>
    <t>Cobalt Compounds</t>
  </si>
  <si>
    <t>Manganese Compounds</t>
  </si>
  <si>
    <t>Mercury Compounds</t>
  </si>
  <si>
    <t>Nickel Compounds</t>
  </si>
  <si>
    <t>Selenium Compounds</t>
  </si>
  <si>
    <t>Greenhouse Gas Pollutants:</t>
  </si>
  <si>
    <r>
      <t>Carbon Dioxide (CO</t>
    </r>
    <r>
      <rPr>
        <vertAlign val="subscript"/>
        <sz val="10"/>
        <rFont val="Arial Narrow"/>
        <family val="2"/>
      </rPr>
      <t>2</t>
    </r>
    <r>
      <rPr>
        <sz val="10"/>
        <rFont val="Arial Narrow"/>
        <family val="2"/>
      </rPr>
      <t>)</t>
    </r>
  </si>
  <si>
    <r>
      <t>Methane (CH</t>
    </r>
    <r>
      <rPr>
        <vertAlign val="subscript"/>
        <sz val="10"/>
        <rFont val="Arial Narrow"/>
        <family val="2"/>
      </rPr>
      <t>4</t>
    </r>
    <r>
      <rPr>
        <sz val="10"/>
        <rFont val="Arial Narrow"/>
        <family val="2"/>
      </rPr>
      <t>)</t>
    </r>
  </si>
  <si>
    <r>
      <t>Nitrous Oxides (N</t>
    </r>
    <r>
      <rPr>
        <vertAlign val="subscript"/>
        <sz val="10"/>
        <rFont val="Arial Narrow"/>
        <family val="2"/>
      </rPr>
      <t>2</t>
    </r>
    <r>
      <rPr>
        <sz val="10"/>
        <rFont val="Arial Narrow"/>
        <family val="2"/>
      </rPr>
      <t>O)</t>
    </r>
  </si>
  <si>
    <r>
      <t>Carbon Dioxide Equivalent (CO</t>
    </r>
    <r>
      <rPr>
        <vertAlign val="subscript"/>
        <sz val="10"/>
        <rFont val="Arial Narrow"/>
        <family val="2"/>
      </rPr>
      <t>2</t>
    </r>
    <r>
      <rPr>
        <sz val="10"/>
        <rFont val="Arial Narrow"/>
        <family val="2"/>
      </rPr>
      <t>e)</t>
    </r>
  </si>
  <si>
    <t>-</t>
  </si>
  <si>
    <t>40 CFR 98, Subpart A, Table A-1</t>
  </si>
  <si>
    <t>Combustion Emissions (Natural Gas)</t>
  </si>
  <si>
    <t>AP-42 Factor</t>
  </si>
  <si>
    <t>lb/MMscf</t>
  </si>
  <si>
    <t>AP-42 Table 1.4-2, April 2026</t>
  </si>
  <si>
    <t>lb/MMBtu</t>
  </si>
  <si>
    <t>Vendor Guarantee</t>
  </si>
  <si>
    <t>lb/MMBtu VOC</t>
  </si>
  <si>
    <t>AP-42 Table 1.4-3, April 2026</t>
  </si>
  <si>
    <t>WebFIRE 6.25</t>
  </si>
  <si>
    <t>AP-42 Table 1.4-4, April 2026</t>
  </si>
  <si>
    <t>40 CFR 98, Subpart C, Table C-1 for Natural Gas</t>
  </si>
  <si>
    <t>40 CFR 98, Subpart C, Table C-2 for Natural Gas</t>
  </si>
  <si>
    <t>Combustion Emissions (Coke Oven Gas)</t>
  </si>
  <si>
    <t>ACME Steel Staff Correspondence (Sep-1997)</t>
  </si>
  <si>
    <t>FIRE v6.25 (1-02-007-07) (same method as EI calclulations)</t>
  </si>
  <si>
    <t>Article 21;2104.03a2B</t>
  </si>
  <si>
    <t>Mass balance</t>
  </si>
  <si>
    <t>lb/MMBtu SO2</t>
  </si>
  <si>
    <t>EPA 450/2-90-011 (Uncontrolled COG Combustion = 1.90% wt of VOC)</t>
  </si>
  <si>
    <t>Clairton Stack Test (Jun-2000) similar to Title V permit PTE calcs.</t>
  </si>
  <si>
    <r>
      <t>Ammonia (NH</t>
    </r>
    <r>
      <rPr>
        <vertAlign val="subscript"/>
        <sz val="10"/>
        <rFont val="Arial Narrow"/>
        <family val="2"/>
      </rPr>
      <t>3</t>
    </r>
    <r>
      <rPr>
        <sz val="10"/>
        <rFont val="Arial Narrow"/>
        <family val="2"/>
      </rPr>
      <t>)</t>
    </r>
  </si>
  <si>
    <t>40 CFR 98, Subpart C, Table C-1 for Coke Oven Gas</t>
  </si>
  <si>
    <t>40 CFR 98, Subpart C, Table C-2 for Coke Oven Gas</t>
  </si>
  <si>
    <t>Boiler 1</t>
  </si>
  <si>
    <t>Boiler 2</t>
  </si>
  <si>
    <t>Boiler 3</t>
  </si>
  <si>
    <t>Boiler 4</t>
  </si>
  <si>
    <t>Boiler 5</t>
  </si>
  <si>
    <t>Hazardous Air Pollutant Type</t>
  </si>
  <si>
    <t>Projected Actual Emissions (lb/yr)</t>
  </si>
  <si>
    <t>ACHD De Minimis Thresholds
(lb/yr)</t>
  </si>
  <si>
    <t>Above De Minimis</t>
  </si>
  <si>
    <t>Emissions Change from Boiler 3</t>
  </si>
  <si>
    <t>Emissions Change from Boiler 4</t>
  </si>
  <si>
    <t>Emissions From New Boiler 5</t>
  </si>
  <si>
    <t>Total from the Project</t>
  </si>
  <si>
    <t>HAP Metals</t>
  </si>
  <si>
    <t>Other Toxics</t>
  </si>
  <si>
    <t>Mercury</t>
  </si>
  <si>
    <t>POM</t>
  </si>
  <si>
    <t>Dioxin</t>
  </si>
  <si>
    <t>Furans</t>
  </si>
  <si>
    <t>PCBs</t>
  </si>
  <si>
    <t>Original PTE Sources Air Toxics Emissions</t>
  </si>
  <si>
    <t>Classification</t>
  </si>
  <si>
    <t>Emission Factor</t>
  </si>
  <si>
    <t>Maximum Potential Emissions (aggregate)</t>
  </si>
  <si>
    <t>Data Source</t>
  </si>
  <si>
    <t>lbs/hr</t>
  </si>
  <si>
    <t>lbs/yr</t>
  </si>
  <si>
    <t>tpy</t>
  </si>
  <si>
    <t>Boiler 3 Original PTE</t>
  </si>
  <si>
    <t>Clairton Stack Test (Jun-2000)</t>
  </si>
  <si>
    <t>Carbon Disulfide (CS2)</t>
  </si>
  <si>
    <t>Boiler 4 Original PTE</t>
  </si>
  <si>
    <t>p</t>
  </si>
  <si>
    <t>New PTE Sources Air Toxics Emissions</t>
  </si>
  <si>
    <t>Boiler 3 New PTE</t>
  </si>
  <si>
    <t>Boiler 4 New PTE</t>
  </si>
  <si>
    <t>Boiler 5 PTE</t>
  </si>
  <si>
    <t>U. S. Steel</t>
  </si>
  <si>
    <t>Irvin Permitting</t>
  </si>
  <si>
    <t>Pollutant:</t>
  </si>
  <si>
    <t>PM (filt)</t>
  </si>
  <si>
    <t>Monthly Emissions (tons)</t>
  </si>
  <si>
    <t>2-Year Average of Emissions (tons)</t>
  </si>
  <si>
    <t>Year</t>
  </si>
  <si>
    <t>Month</t>
  </si>
  <si>
    <t>Boiler #3 - COG</t>
  </si>
  <si>
    <t>Boiler #3 - NG</t>
  </si>
  <si>
    <t>Boiler #4 - COG</t>
  </si>
  <si>
    <t>Boiler #4 - NG</t>
  </si>
  <si>
    <t>COG (MCF)</t>
  </si>
  <si>
    <t>NAT GAS (MCF)</t>
  </si>
  <si>
    <t xml:space="preserve"> #3 Boiler</t>
  </si>
  <si>
    <t xml:space="preserve"> #4 Boiler</t>
  </si>
  <si>
    <t>January</t>
  </si>
  <si>
    <t>--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</si>
  <si>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</si>
  <si>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</si>
  <si>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</si>
  <si>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</si>
  <si>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</si>
  <si>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</si>
  <si>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</si>
  <si>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</si>
  <si>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</si>
  <si>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</si>
  <si>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</si>
  <si>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NG Factor</t>
  </si>
  <si>
    <t>COG Factor</t>
  </si>
  <si>
    <t>PMCOND</t>
  </si>
  <si>
    <t>SOx</t>
  </si>
  <si>
    <t>CO2</t>
  </si>
  <si>
    <t>Methane</t>
  </si>
  <si>
    <t>N2O</t>
  </si>
  <si>
    <t>Data From Energy IUD Files (Mixing Station Files)</t>
  </si>
  <si>
    <t>Department</t>
  </si>
  <si>
    <t>Annual Total</t>
  </si>
  <si>
    <t xml:space="preserve"> #1 BOILER</t>
  </si>
  <si>
    <t xml:space="preserve"> #2 BOILER</t>
  </si>
  <si>
    <t xml:space="preserve"> #3 BOILER</t>
  </si>
  <si>
    <t xml:space="preserve"> #4 BOILER</t>
  </si>
  <si>
    <t>Total Throughput (MMCF)</t>
  </si>
  <si>
    <t>PM10-filter</t>
  </si>
  <si>
    <t>PM2.5-filter</t>
  </si>
  <si>
    <t>(tons/yr)</t>
  </si>
  <si>
    <t>NG Total</t>
  </si>
  <si>
    <t>COG Total</t>
  </si>
  <si>
    <t>Title V Permit Renewal</t>
  </si>
  <si>
    <t>Date:</t>
  </si>
  <si>
    <t>Table 12c. Irvin Boilers</t>
  </si>
  <si>
    <t>Boiler No. 3 - Current PTE</t>
  </si>
  <si>
    <t>SB3</t>
  </si>
  <si>
    <t>Title V Permit Limit (Table V-M-1)</t>
  </si>
  <si>
    <r>
      <t>Filterable Particulate Matter &lt;10 microns (PM</t>
    </r>
    <r>
      <rPr>
        <vertAlign val="subscript"/>
        <sz val="10"/>
        <rFont val="Arial Narrow"/>
        <family val="2"/>
      </rPr>
      <t>10</t>
    </r>
    <r>
      <rPr>
        <sz val="10"/>
        <rFont val="Arial Narrow"/>
        <family val="2"/>
      </rPr>
      <t>)</t>
    </r>
  </si>
  <si>
    <r>
      <t>Filterable Particulate Matter &lt; 2.5 microns (PM</t>
    </r>
    <r>
      <rPr>
        <vertAlign val="subscript"/>
        <sz val="10"/>
        <rFont val="Arial Narrow"/>
        <family val="2"/>
      </rPr>
      <t>2.5</t>
    </r>
    <r>
      <rPr>
        <sz val="10"/>
        <rFont val="Arial Narrow"/>
        <family val="2"/>
      </rPr>
      <t>)</t>
    </r>
  </si>
  <si>
    <t>Assumes PM2.5 = PM10</t>
  </si>
  <si>
    <t>Max from All Fuels (see below)</t>
  </si>
  <si>
    <t>Title V Permit Limit (Table IV-1); aggregate for Boiler 3 and 4)</t>
  </si>
  <si>
    <t>AP-42 Table 1.4-2, July 1998</t>
  </si>
  <si>
    <t>AP-42 Table 1.4-3, July 1998</t>
  </si>
  <si>
    <t>AP-42 Table 1.4-4, July 1998</t>
  </si>
  <si>
    <t>Table 12d. Irvin Boilers</t>
  </si>
  <si>
    <t>Boiler No. 4 - Current PTE</t>
  </si>
  <si>
    <t>Title V Permit Limit (Table V-N-1)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</si>
</sst>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00"/>
    <numFmt numFmtId="165" formatCode="0.0000"/>
    <numFmt numFmtId="166" formatCode="0.000"/>
    <numFmt numFmtId="167" formatCode="0.0"/>
    <numFmt numFmtId="168" formatCode="0.00000"/>
    <numFmt numFmtId="169" formatCode="&quot;$&quot;#,##0\ ;\(&quot;$&quot;#,##0\)"/>
    <numFmt numFmtId="170" formatCode="0_)"/>
    <numFmt numFmtId="171" formatCode="0.000000"/>
    <numFmt numFmtId="172" formatCode="[$-409]mmmm\-yy;@"/>
    <numFmt numFmtId="173" formatCode="#,##0.000"/>
    <numFmt numFmtId="174" formatCode="#,##0.0"/>
    <numFmt numFmtId="175" formatCode="[=0]&quot;-&quot;;[&lt;0.01]0.00E+00;0.00"/>
    <numFmt numFmtId="176" formatCode="[=0]&quot;-&quot;;[&lt;0.01]0E+00;0"/>
  </numFmts>
  <fonts count="7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2"/>
      <color indexed="24"/>
      <name val="Arial"/>
      <family val="2"/>
    </font>
    <font>
      <sz val="12"/>
      <color indexed="22"/>
      <name val="Arial"/>
      <family val="2"/>
    </font>
    <font>
      <sz val="12"/>
      <color indexed="24"/>
      <name val="Times New Roman"/>
      <family val="1"/>
    </font>
    <font>
      <sz val="10"/>
      <name val="Arial"/>
      <family val="2"/>
    </font>
    <font>
      <sz val="10"/>
      <color indexed="24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theme="1"/>
      <name val="Arial"/>
      <family val="2"/>
    </font>
    <font>
      <sz val="16"/>
      <name val="Arial"/>
      <family val="2"/>
    </font>
    <font>
      <sz val="10"/>
      <name val="Arial Narrow"/>
      <family val="2"/>
    </font>
    <font>
      <sz val="10"/>
      <color rgb="FFFF0000"/>
      <name val="Arial Narrow"/>
      <family val="2"/>
    </font>
    <font>
      <b/>
      <sz val="10"/>
      <name val="Arial Narrow"/>
      <family val="2"/>
    </font>
    <font>
      <sz val="9"/>
      <name val="Arial Narrow"/>
      <family val="2"/>
    </font>
    <font>
      <b/>
      <sz val="10"/>
      <color rgb="FFFF0000"/>
      <name val="Arial Narrow"/>
      <family val="2"/>
    </font>
    <font>
      <b/>
      <u/>
      <sz val="10"/>
      <color theme="1"/>
      <name val="Arial Narrow"/>
      <family val="2"/>
    </font>
    <font>
      <b/>
      <sz val="10"/>
      <color rgb="FF0070C0"/>
      <name val="Arial Narrow"/>
      <family val="2"/>
    </font>
    <font>
      <sz val="9"/>
      <color theme="1"/>
      <name val="Arial Narrow"/>
      <family val="2"/>
    </font>
    <font>
      <b/>
      <sz val="9"/>
      <color rgb="FF000000"/>
      <name val="Arial Narrow"/>
      <family val="2"/>
    </font>
    <font>
      <b/>
      <sz val="9"/>
      <color rgb="FFFF0000"/>
      <name val="Arial Narrow"/>
      <family val="2"/>
    </font>
    <font>
      <b/>
      <sz val="9"/>
      <color rgb="FF0070C0"/>
      <name val="Arial Narrow"/>
      <family val="2"/>
    </font>
    <font>
      <sz val="10"/>
      <color theme="1"/>
      <name val="Arial Narrow"/>
      <family val="2"/>
    </font>
    <font>
      <b/>
      <sz val="10"/>
      <color rgb="FFC00000"/>
      <name val="Arial Narrow"/>
      <family val="2"/>
    </font>
    <font>
      <sz val="10"/>
      <color rgb="FF000000"/>
      <name val="Times New Roman"/>
      <family val="1"/>
    </font>
    <font>
      <b/>
      <sz val="9"/>
      <name val="Arial Narrow"/>
      <family val="2"/>
    </font>
    <font>
      <b/>
      <sz val="10"/>
      <color indexed="10"/>
      <name val="Arial Narrow"/>
      <family val="2"/>
    </font>
    <font>
      <b/>
      <u/>
      <sz val="10"/>
      <name val="Arial Narrow"/>
      <family val="2"/>
    </font>
    <font>
      <sz val="11"/>
      <color indexed="8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MS Sans Serif"/>
      <family val="2"/>
    </font>
    <font>
      <sz val="10"/>
      <color theme="0"/>
      <name val="Arial Narrow"/>
      <family val="2"/>
    </font>
    <font>
      <b/>
      <i/>
      <sz val="10"/>
      <color indexed="10"/>
      <name val="Arial Narrow"/>
      <family val="2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i/>
      <sz val="10"/>
      <color indexed="8"/>
      <name val="Arial Narrow"/>
      <family val="2"/>
    </font>
    <font>
      <b/>
      <sz val="10"/>
      <color theme="0"/>
      <name val="Arial Narrow"/>
      <family val="2"/>
    </font>
    <font>
      <b/>
      <i/>
      <u/>
      <sz val="10"/>
      <color indexed="10"/>
      <name val="Arial Narrow"/>
      <family val="2"/>
    </font>
    <font>
      <u/>
      <sz val="10"/>
      <color indexed="8"/>
      <name val="Arial Narrow"/>
      <family val="2"/>
    </font>
    <font>
      <b/>
      <u/>
      <sz val="10"/>
      <color theme="0"/>
      <name val="Arial Narrow"/>
      <family val="2"/>
    </font>
    <font>
      <vertAlign val="subscript"/>
      <sz val="10"/>
      <name val="Arial Narrow"/>
      <family val="2"/>
    </font>
    <font>
      <u/>
      <sz val="10"/>
      <name val="Arial Narrow"/>
      <family val="2"/>
    </font>
    <font>
      <b/>
      <sz val="10"/>
      <color theme="1"/>
      <name val="Arial Narrow"/>
      <family val="2"/>
    </font>
    <font>
      <b/>
      <vertAlign val="superscript"/>
      <sz val="10"/>
      <color theme="1"/>
      <name val="Arial Narrow"/>
      <family val="2"/>
    </font>
    <font>
      <vertAlign val="subscript"/>
      <sz val="10"/>
      <color theme="1"/>
      <name val="Arial Narrow"/>
      <family val="2"/>
    </font>
    <font>
      <vertAlign val="superscript"/>
      <sz val="10"/>
      <color theme="1"/>
      <name val="Arial Narrow"/>
      <family val="2"/>
    </font>
    <font>
      <vertAlign val="subscript"/>
      <sz val="10"/>
      <color indexed="8"/>
      <name val="Arial Narrow"/>
      <family val="2"/>
    </font>
    <font>
      <sz val="8"/>
      <name val="Arial"/>
      <family val="2"/>
    </font>
    <font>
      <b/>
      <vertAlign val="subscript"/>
      <sz val="9"/>
      <color rgb="FF000000"/>
      <name val="Arial Narrow"/>
      <family val="2"/>
    </font>
    <font>
      <b/>
      <sz val="9"/>
      <color theme="1"/>
      <name val="Arial Narrow"/>
      <family val="2"/>
    </font>
    <font>
      <sz val="9"/>
      <color rgb="FF000000"/>
      <name val="Arial Narrow"/>
      <family val="2"/>
    </font>
    <font>
      <sz val="10"/>
      <name val="Arial"/>
      <family val="2"/>
    </font>
    <font>
      <b/>
      <sz val="9"/>
      <color indexed="8"/>
      <name val="Arial Narrow"/>
      <family val="2"/>
    </font>
    <font>
      <b/>
      <u/>
      <sz val="10"/>
      <color indexed="8"/>
      <name val="Arial Narrow"/>
      <family val="2"/>
    </font>
    <font>
      <sz val="10"/>
      <name val="Tms Rmn"/>
    </font>
    <font>
      <i/>
      <u/>
      <sz val="10"/>
      <color indexed="10"/>
      <name val="Arial Narrow"/>
      <family val="2"/>
    </font>
    <font>
      <b/>
      <u/>
      <sz val="10"/>
      <color rgb="FFFF0000"/>
      <name val="Arial Narrow"/>
      <family val="2"/>
    </font>
    <font>
      <b/>
      <i/>
      <sz val="10"/>
      <color rgb="FFFF0000"/>
      <name val="Arial Narrow"/>
      <family val="2"/>
    </font>
    <font>
      <sz val="10"/>
      <name val="Times New Roman"/>
      <family val="1"/>
    </font>
    <font>
      <b/>
      <u/>
      <sz val="9"/>
      <color theme="0"/>
      <name val="Arial Narrow"/>
      <family val="2"/>
    </font>
    <font>
      <sz val="9"/>
      <color theme="0"/>
      <name val="Arial Narrow"/>
      <family val="2"/>
    </font>
    <font>
      <b/>
      <sz val="9"/>
      <color theme="0"/>
      <name val="Arial Narrow"/>
      <family val="2"/>
    </font>
    <font>
      <i/>
      <sz val="10"/>
      <name val="Arial Narrow"/>
      <family val="2"/>
    </font>
    <font>
      <sz val="10.5"/>
      <name val="Arial Narrow"/>
      <family val="2"/>
    </font>
    <font>
      <vertAlign val="subscript"/>
      <sz val="10.5"/>
      <name val="Arial Narrow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4DFEC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FF00"/>
        <bgColor rgb="FF000000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60">
    <xf numFmtId="0" fontId="0" fillId="0" borderId="0"/>
    <xf numFmtId="3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2" fontId="11" fillId="0" borderId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7" fillId="0" borderId="0"/>
    <xf numFmtId="0" fontId="14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0" fillId="0" borderId="0"/>
    <xf numFmtId="9" fontId="10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4" fontId="10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43" fontId="37" fillId="0" borderId="0" applyFont="0" applyFill="0" applyBorder="0" applyAlignment="0" applyProtection="0"/>
    <xf numFmtId="0" fontId="3" fillId="0" borderId="0"/>
    <xf numFmtId="0" fontId="3" fillId="0" borderId="0"/>
    <xf numFmtId="0" fontId="40" fillId="0" borderId="0"/>
    <xf numFmtId="40" fontId="40" fillId="0" borderId="0" applyFont="0" applyFill="0" applyBorder="0" applyAlignment="0" applyProtection="0"/>
    <xf numFmtId="9" fontId="61" fillId="0" borderId="0" applyFont="0" applyFill="0" applyBorder="0" applyAlignment="0" applyProtection="0"/>
    <xf numFmtId="172" fontId="64" fillId="0" borderId="0"/>
    <xf numFmtId="0" fontId="3" fillId="0" borderId="0"/>
    <xf numFmtId="0" fontId="2" fillId="0" borderId="0"/>
    <xf numFmtId="0" fontId="1" fillId="0" borderId="0"/>
    <xf numFmtId="9" fontId="68" fillId="0" borderId="0" applyFont="0" applyFill="0" applyBorder="0" applyAlignment="0" applyProtection="0"/>
    <xf numFmtId="0" fontId="1" fillId="0" borderId="0"/>
    <xf numFmtId="0" fontId="1" fillId="0" borderId="0"/>
    <xf numFmtId="0" fontId="10" fillId="0" borderId="0"/>
    <xf numFmtId="0" fontId="1" fillId="0" borderId="0"/>
  </cellStyleXfs>
  <cellXfs count="595">
    <xf numFmtId="0" fontId="0" fillId="0" borderId="0" xfId="0"/>
    <xf numFmtId="2" fontId="0" fillId="0" borderId="1" xfId="0" applyNumberFormat="1" applyBorder="1" applyAlignment="1">
      <alignment horizontal="center"/>
    </xf>
    <xf numFmtId="0" fontId="18" fillId="0" borderId="1" xfId="14" applyFont="1" applyBorder="1"/>
    <xf numFmtId="165" fontId="8" fillId="0" borderId="0" xfId="14" applyNumberFormat="1" applyFont="1" applyAlignment="1">
      <alignment horizontal="center"/>
    </xf>
    <xf numFmtId="0" fontId="9" fillId="0" borderId="0" xfId="14" applyFont="1" applyAlignment="1">
      <alignment horizontal="center" vertical="center"/>
    </xf>
    <xf numFmtId="1" fontId="9" fillId="0" borderId="0" xfId="14" applyNumberFormat="1" applyFont="1" applyAlignment="1">
      <alignment horizontal="center" vertical="center"/>
    </xf>
    <xf numFmtId="1" fontId="9" fillId="2" borderId="0" xfId="14" applyNumberFormat="1" applyFont="1" applyFill="1" applyAlignment="1">
      <alignment horizontal="center" vertical="center"/>
    </xf>
    <xf numFmtId="2" fontId="0" fillId="0" borderId="0" xfId="0" applyNumberFormat="1" applyAlignment="1">
      <alignment horizontal="center"/>
    </xf>
    <xf numFmtId="170" fontId="10" fillId="0" borderId="1" xfId="14" applyNumberFormat="1" applyFont="1" applyBorder="1"/>
    <xf numFmtId="2" fontId="18" fillId="0" borderId="1" xfId="14" applyNumberFormat="1" applyFont="1" applyBorder="1" applyAlignment="1">
      <alignment horizontal="center"/>
    </xf>
    <xf numFmtId="170" fontId="10" fillId="4" borderId="1" xfId="14" applyNumberFormat="1" applyFont="1" applyFill="1" applyBorder="1"/>
    <xf numFmtId="165" fontId="18" fillId="0" borderId="0" xfId="14" applyNumberFormat="1" applyFont="1" applyAlignment="1">
      <alignment horizontal="center"/>
    </xf>
    <xf numFmtId="0" fontId="10" fillId="0" borderId="1" xfId="0" applyFont="1" applyBorder="1"/>
    <xf numFmtId="0" fontId="9" fillId="0" borderId="0" xfId="14" applyFont="1"/>
    <xf numFmtId="0" fontId="9" fillId="2" borderId="0" xfId="14" applyFont="1" applyFill="1"/>
    <xf numFmtId="165" fontId="8" fillId="2" borderId="0" xfId="14" applyNumberFormat="1" applyFont="1" applyFill="1"/>
    <xf numFmtId="164" fontId="9" fillId="0" borderId="0" xfId="14" applyNumberFormat="1" applyFont="1"/>
    <xf numFmtId="2" fontId="9" fillId="0" borderId="0" xfId="14" applyNumberFormat="1" applyFont="1"/>
    <xf numFmtId="172" fontId="20" fillId="0" borderId="0" xfId="29" applyFont="1"/>
    <xf numFmtId="172" fontId="20" fillId="0" borderId="0" xfId="29" applyFont="1" applyAlignment="1">
      <alignment horizontal="center" wrapText="1"/>
    </xf>
    <xf numFmtId="0" fontId="20" fillId="0" borderId="0" xfId="25" applyFont="1"/>
    <xf numFmtId="172" fontId="23" fillId="0" borderId="0" xfId="29" applyFont="1"/>
    <xf numFmtId="43" fontId="9" fillId="0" borderId="0" xfId="27" applyFont="1" applyFill="1"/>
    <xf numFmtId="165" fontId="8" fillId="0" borderId="0" xfId="14" applyNumberFormat="1" applyFont="1"/>
    <xf numFmtId="0" fontId="26" fillId="0" borderId="0" xfId="25" applyFont="1"/>
    <xf numFmtId="0" fontId="25" fillId="0" borderId="0" xfId="36" applyFont="1"/>
    <xf numFmtId="0" fontId="24" fillId="0" borderId="0" xfId="37" applyFont="1"/>
    <xf numFmtId="0" fontId="22" fillId="0" borderId="0" xfId="37" applyFont="1"/>
    <xf numFmtId="0" fontId="32" fillId="0" borderId="0" xfId="39" applyFont="1" applyAlignment="1">
      <alignment horizontal="left" vertical="center"/>
    </xf>
    <xf numFmtId="0" fontId="28" fillId="6" borderId="22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7" fillId="0" borderId="32" xfId="34" applyFont="1" applyBorder="1" applyAlignment="1">
      <alignment horizontal="center"/>
    </xf>
    <xf numFmtId="0" fontId="27" fillId="0" borderId="30" xfId="34" applyFont="1" applyBorder="1" applyAlignment="1">
      <alignment horizontal="center"/>
    </xf>
    <xf numFmtId="0" fontId="27" fillId="0" borderId="29" xfId="34" applyFont="1" applyBorder="1" applyAlignment="1">
      <alignment horizontal="center"/>
    </xf>
    <xf numFmtId="0" fontId="35" fillId="0" borderId="0" xfId="14" applyFont="1"/>
    <xf numFmtId="0" fontId="22" fillId="0" borderId="0" xfId="25" applyFont="1"/>
    <xf numFmtId="0" fontId="34" fillId="0" borderId="0" xfId="25" applyFont="1"/>
    <xf numFmtId="0" fontId="20" fillId="0" borderId="0" xfId="0" applyFont="1"/>
    <xf numFmtId="170" fontId="10" fillId="0" borderId="1" xfId="14" applyNumberFormat="1" applyFont="1" applyBorder="1" applyAlignment="1">
      <alignment vertical="center"/>
    </xf>
    <xf numFmtId="0" fontId="31" fillId="0" borderId="0" xfId="46" applyFont="1"/>
    <xf numFmtId="0" fontId="31" fillId="0" borderId="0" xfId="46" applyFont="1" applyAlignment="1">
      <alignment horizontal="left" vertical="center"/>
    </xf>
    <xf numFmtId="0" fontId="41" fillId="0" borderId="0" xfId="46" applyFont="1"/>
    <xf numFmtId="0" fontId="26" fillId="0" borderId="0" xfId="44" applyFont="1"/>
    <xf numFmtId="0" fontId="22" fillId="0" borderId="0" xfId="44" applyFont="1" applyAlignment="1">
      <alignment horizontal="left"/>
    </xf>
    <xf numFmtId="0" fontId="31" fillId="0" borderId="0" xfId="44" applyFont="1"/>
    <xf numFmtId="0" fontId="31" fillId="0" borderId="0" xfId="44" applyFont="1" applyAlignment="1">
      <alignment horizontal="left" vertical="center"/>
    </xf>
    <xf numFmtId="0" fontId="41" fillId="0" borderId="0" xfId="44" applyFont="1"/>
    <xf numFmtId="0" fontId="24" fillId="0" borderId="0" xfId="47" applyFont="1"/>
    <xf numFmtId="0" fontId="21" fillId="0" borderId="0" xfId="47" applyFont="1"/>
    <xf numFmtId="0" fontId="21" fillId="0" borderId="0" xfId="47" applyFont="1" applyAlignment="1">
      <alignment horizontal="left" vertical="center"/>
    </xf>
    <xf numFmtId="0" fontId="41" fillId="0" borderId="0" xfId="47" applyFont="1"/>
    <xf numFmtId="0" fontId="42" fillId="0" borderId="0" xfId="46" applyFont="1" applyAlignment="1">
      <alignment horizontal="left"/>
    </xf>
    <xf numFmtId="0" fontId="43" fillId="0" borderId="0" xfId="46" applyFont="1" applyAlignment="1">
      <alignment horizontal="center" wrapText="1"/>
    </xf>
    <xf numFmtId="0" fontId="43" fillId="0" borderId="0" xfId="46" applyFont="1"/>
    <xf numFmtId="0" fontId="43" fillId="0" borderId="0" xfId="46" applyFont="1" applyAlignment="1">
      <alignment horizontal="left" vertical="center"/>
    </xf>
    <xf numFmtId="0" fontId="44" fillId="0" borderId="0" xfId="46" applyFont="1" applyAlignment="1">
      <alignment vertical="center"/>
    </xf>
    <xf numFmtId="0" fontId="44" fillId="0" borderId="0" xfId="46" applyFont="1" applyAlignment="1">
      <alignment horizontal="left" vertical="center"/>
    </xf>
    <xf numFmtId="3" fontId="43" fillId="0" borderId="0" xfId="46" applyNumberFormat="1" applyFont="1" applyAlignment="1">
      <alignment horizontal="left" vertical="center" wrapText="1"/>
    </xf>
    <xf numFmtId="0" fontId="45" fillId="0" borderId="0" xfId="46" applyFont="1"/>
    <xf numFmtId="1" fontId="43" fillId="0" borderId="0" xfId="46" applyNumberFormat="1" applyFont="1" applyAlignment="1">
      <alignment horizontal="left" vertical="center"/>
    </xf>
    <xf numFmtId="167" fontId="43" fillId="0" borderId="0" xfId="46" applyNumberFormat="1" applyFont="1" applyAlignment="1">
      <alignment horizontal="left" vertical="center"/>
    </xf>
    <xf numFmtId="3" fontId="43" fillId="0" borderId="0" xfId="46" applyNumberFormat="1" applyFont="1" applyAlignment="1">
      <alignment horizontal="left" vertical="center"/>
    </xf>
    <xf numFmtId="2" fontId="41" fillId="0" borderId="0" xfId="46" applyNumberFormat="1" applyFont="1"/>
    <xf numFmtId="0" fontId="24" fillId="8" borderId="0" xfId="47" applyFont="1" applyFill="1"/>
    <xf numFmtId="0" fontId="21" fillId="8" borderId="0" xfId="47" applyFont="1" applyFill="1"/>
    <xf numFmtId="0" fontId="21" fillId="8" borderId="0" xfId="47" applyFont="1" applyFill="1" applyAlignment="1">
      <alignment horizontal="left" vertical="center"/>
    </xf>
    <xf numFmtId="0" fontId="43" fillId="0" borderId="0" xfId="46" applyFont="1" applyAlignment="1">
      <alignment horizontal="center"/>
    </xf>
    <xf numFmtId="0" fontId="43" fillId="0" borderId="41" xfId="46" applyFont="1" applyBorder="1"/>
    <xf numFmtId="0" fontId="43" fillId="0" borderId="51" xfId="46" applyFont="1" applyBorder="1"/>
    <xf numFmtId="0" fontId="43" fillId="0" borderId="51" xfId="46" applyFont="1" applyBorder="1" applyAlignment="1">
      <alignment horizontal="center" wrapText="1"/>
    </xf>
    <xf numFmtId="0" fontId="43" fillId="0" borderId="51" xfId="46" applyFont="1" applyBorder="1" applyAlignment="1">
      <alignment horizontal="center"/>
    </xf>
    <xf numFmtId="0" fontId="43" fillId="0" borderId="44" xfId="46" applyFont="1" applyBorder="1" applyAlignment="1">
      <alignment horizontal="left" vertical="center"/>
    </xf>
    <xf numFmtId="0" fontId="44" fillId="0" borderId="45" xfId="46" applyFont="1" applyBorder="1" applyAlignment="1">
      <alignment horizontal="left" vertical="center" wrapText="1"/>
    </xf>
    <xf numFmtId="0" fontId="44" fillId="0" borderId="0" xfId="46" applyFont="1" applyAlignment="1">
      <alignment horizontal="center" vertical="center" wrapText="1"/>
    </xf>
    <xf numFmtId="0" fontId="44" fillId="0" borderId="46" xfId="46" applyFont="1" applyBorder="1" applyAlignment="1">
      <alignment horizontal="center" vertical="center" wrapText="1"/>
    </xf>
    <xf numFmtId="0" fontId="44" fillId="0" borderId="0" xfId="46" applyFont="1" applyAlignment="1">
      <alignment horizontal="center" vertical="center"/>
    </xf>
    <xf numFmtId="0" fontId="46" fillId="0" borderId="0" xfId="46" applyFont="1" applyAlignment="1">
      <alignment horizontal="center" vertical="center"/>
    </xf>
    <xf numFmtId="0" fontId="43" fillId="0" borderId="47" xfId="46" applyFont="1" applyBorder="1"/>
    <xf numFmtId="0" fontId="43" fillId="0" borderId="16" xfId="46" applyFont="1" applyBorder="1"/>
    <xf numFmtId="0" fontId="43" fillId="0" borderId="16" xfId="46" applyFont="1" applyBorder="1" applyAlignment="1">
      <alignment horizontal="center" wrapText="1"/>
    </xf>
    <xf numFmtId="0" fontId="43" fillId="0" borderId="16" xfId="46" applyFont="1" applyBorder="1" applyAlignment="1">
      <alignment horizontal="center"/>
    </xf>
    <xf numFmtId="0" fontId="43" fillId="0" borderId="50" xfId="46" applyFont="1" applyBorder="1" applyAlignment="1">
      <alignment horizontal="left" vertical="center"/>
    </xf>
    <xf numFmtId="0" fontId="47" fillId="0" borderId="45" xfId="46" applyFont="1" applyBorder="1"/>
    <xf numFmtId="0" fontId="47" fillId="0" borderId="0" xfId="46" applyFont="1"/>
    <xf numFmtId="0" fontId="48" fillId="0" borderId="0" xfId="46" applyFont="1" applyAlignment="1">
      <alignment horizontal="center" wrapText="1"/>
    </xf>
    <xf numFmtId="0" fontId="43" fillId="0" borderId="46" xfId="46" applyFont="1" applyBorder="1" applyAlignment="1">
      <alignment horizontal="left" vertical="center"/>
    </xf>
    <xf numFmtId="0" fontId="49" fillId="0" borderId="0" xfId="46" applyFont="1"/>
    <xf numFmtId="0" fontId="20" fillId="0" borderId="45" xfId="46" applyFont="1" applyBorder="1" applyAlignment="1">
      <alignment horizontal="left" vertical="center"/>
    </xf>
    <xf numFmtId="2" fontId="20" fillId="0" borderId="0" xfId="46" applyNumberFormat="1" applyFont="1" applyAlignment="1">
      <alignment horizontal="center" vertical="center"/>
    </xf>
    <xf numFmtId="4" fontId="20" fillId="0" borderId="0" xfId="46" applyNumberFormat="1" applyFont="1" applyAlignment="1">
      <alignment horizontal="center" vertical="center" wrapText="1"/>
    </xf>
    <xf numFmtId="0" fontId="20" fillId="0" borderId="46" xfId="43" applyFont="1" applyBorder="1" applyAlignment="1">
      <alignment horizontal="left" vertical="center"/>
    </xf>
    <xf numFmtId="0" fontId="41" fillId="0" borderId="0" xfId="46" applyFont="1" applyAlignment="1">
      <alignment vertical="center"/>
    </xf>
    <xf numFmtId="0" fontId="43" fillId="0" borderId="0" xfId="43" applyFont="1" applyAlignment="1">
      <alignment horizontal="center" vertical="center"/>
    </xf>
    <xf numFmtId="0" fontId="43" fillId="0" borderId="46" xfId="46" applyFont="1" applyBorder="1" applyAlignment="1">
      <alignment horizontal="left" vertical="center" wrapText="1"/>
    </xf>
    <xf numFmtId="0" fontId="43" fillId="0" borderId="0" xfId="46" applyFont="1" applyAlignment="1">
      <alignment vertical="center"/>
    </xf>
    <xf numFmtId="0" fontId="21" fillId="0" borderId="0" xfId="46" applyFont="1" applyAlignment="1">
      <alignment vertical="center"/>
    </xf>
    <xf numFmtId="1" fontId="43" fillId="0" borderId="0" xfId="43" applyNumberFormat="1" applyFont="1" applyAlignment="1">
      <alignment horizontal="center" vertical="center"/>
    </xf>
    <xf numFmtId="4" fontId="43" fillId="0" borderId="0" xfId="46" applyNumberFormat="1" applyFont="1" applyAlignment="1">
      <alignment horizontal="center" wrapText="1"/>
    </xf>
    <xf numFmtId="4" fontId="20" fillId="0" borderId="0" xfId="46" applyNumberFormat="1" applyFont="1" applyAlignment="1">
      <alignment vertical="center" wrapText="1"/>
    </xf>
    <xf numFmtId="0" fontId="20" fillId="0" borderId="0" xfId="46" applyFont="1" applyAlignment="1">
      <alignment vertical="center" wrapText="1"/>
    </xf>
    <xf numFmtId="0" fontId="51" fillId="0" borderId="45" xfId="48" applyFont="1" applyBorder="1" applyAlignment="1">
      <alignment horizontal="left"/>
    </xf>
    <xf numFmtId="0" fontId="51" fillId="0" borderId="0" xfId="48" applyFont="1" applyAlignment="1">
      <alignment horizontal="left"/>
    </xf>
    <xf numFmtId="0" fontId="20" fillId="0" borderId="0" xfId="46" applyFont="1" applyAlignment="1">
      <alignment horizontal="center" vertical="center" wrapText="1"/>
    </xf>
    <xf numFmtId="0" fontId="20" fillId="0" borderId="45" xfId="48" applyFont="1" applyBorder="1" applyAlignment="1">
      <alignment horizontal="left"/>
    </xf>
    <xf numFmtId="2" fontId="43" fillId="0" borderId="0" xfId="43" applyNumberFormat="1" applyFont="1" applyAlignment="1">
      <alignment horizontal="center" vertical="center"/>
    </xf>
    <xf numFmtId="11" fontId="51" fillId="0" borderId="0" xfId="48" applyNumberFormat="1" applyFont="1" applyAlignment="1">
      <alignment horizontal="left"/>
    </xf>
    <xf numFmtId="11" fontId="43" fillId="0" borderId="0" xfId="46" applyNumberFormat="1" applyFont="1" applyAlignment="1">
      <alignment horizontal="center" wrapText="1"/>
    </xf>
    <xf numFmtId="11" fontId="20" fillId="0" borderId="0" xfId="46" applyNumberFormat="1" applyFont="1" applyAlignment="1">
      <alignment horizontal="center" vertical="center"/>
    </xf>
    <xf numFmtId="11" fontId="20" fillId="0" borderId="0" xfId="46" applyNumberFormat="1" applyFont="1" applyAlignment="1">
      <alignment horizontal="center" vertical="center" wrapText="1"/>
    </xf>
    <xf numFmtId="0" fontId="20" fillId="0" borderId="45" xfId="48" applyFont="1" applyBorder="1"/>
    <xf numFmtId="0" fontId="20" fillId="0" borderId="0" xfId="48" applyFont="1"/>
    <xf numFmtId="4" fontId="20" fillId="0" borderId="0" xfId="48" applyNumberFormat="1" applyFont="1" applyAlignment="1">
      <alignment horizontal="center"/>
    </xf>
    <xf numFmtId="4" fontId="20" fillId="0" borderId="0" xfId="49" applyNumberFormat="1" applyFont="1" applyFill="1" applyBorder="1" applyAlignment="1">
      <alignment horizontal="center"/>
    </xf>
    <xf numFmtId="0" fontId="20" fillId="0" borderId="45" xfId="48" applyFont="1" applyBorder="1" applyAlignment="1">
      <alignment vertical="center"/>
    </xf>
    <xf numFmtId="3" fontId="20" fillId="0" borderId="0" xfId="49" applyNumberFormat="1" applyFont="1" applyFill="1" applyBorder="1" applyAlignment="1">
      <alignment horizontal="center" vertical="center"/>
    </xf>
    <xf numFmtId="3" fontId="20" fillId="0" borderId="0" xfId="46" applyNumberFormat="1" applyFont="1" applyAlignment="1">
      <alignment horizontal="center" vertical="center" wrapText="1"/>
    </xf>
    <xf numFmtId="4" fontId="20" fillId="0" borderId="0" xfId="49" applyNumberFormat="1" applyFont="1" applyFill="1" applyBorder="1" applyAlignment="1">
      <alignment horizontal="center" vertical="center"/>
    </xf>
    <xf numFmtId="0" fontId="20" fillId="0" borderId="47" xfId="48" applyFont="1" applyBorder="1" applyAlignment="1">
      <alignment vertical="center"/>
    </xf>
    <xf numFmtId="3" fontId="20" fillId="0" borderId="16" xfId="49" applyNumberFormat="1" applyFont="1" applyFill="1" applyBorder="1" applyAlignment="1">
      <alignment horizontal="center" vertical="center"/>
    </xf>
    <xf numFmtId="3" fontId="20" fillId="0" borderId="16" xfId="48" applyNumberFormat="1" applyFont="1" applyBorder="1" applyAlignment="1">
      <alignment horizontal="center" vertical="center"/>
    </xf>
    <xf numFmtId="4" fontId="20" fillId="0" borderId="16" xfId="49" quotePrefix="1" applyNumberFormat="1" applyFont="1" applyFill="1" applyBorder="1" applyAlignment="1">
      <alignment horizontal="center" vertical="center"/>
    </xf>
    <xf numFmtId="0" fontId="43" fillId="0" borderId="16" xfId="46" quotePrefix="1" applyFont="1" applyBorder="1" applyAlignment="1">
      <alignment horizontal="center" vertical="center"/>
    </xf>
    <xf numFmtId="0" fontId="20" fillId="0" borderId="0" xfId="48" applyFont="1" applyAlignment="1">
      <alignment vertical="center"/>
    </xf>
    <xf numFmtId="3" fontId="20" fillId="0" borderId="0" xfId="48" applyNumberFormat="1" applyFont="1" applyAlignment="1">
      <alignment horizontal="center" vertical="center"/>
    </xf>
    <xf numFmtId="4" fontId="20" fillId="0" borderId="0" xfId="49" quotePrefix="1" applyNumberFormat="1" applyFont="1" applyFill="1" applyBorder="1" applyAlignment="1">
      <alignment horizontal="center" vertical="center"/>
    </xf>
    <xf numFmtId="0" fontId="43" fillId="0" borderId="0" xfId="46" quotePrefix="1" applyFont="1" applyAlignment="1">
      <alignment horizontal="center" vertical="center"/>
    </xf>
    <xf numFmtId="2" fontId="20" fillId="0" borderId="0" xfId="46" applyNumberFormat="1" applyFont="1" applyAlignment="1">
      <alignment horizontal="center" vertical="center" wrapText="1"/>
    </xf>
    <xf numFmtId="173" fontId="20" fillId="0" borderId="0" xfId="49" applyNumberFormat="1" applyFont="1" applyFill="1" applyBorder="1" applyAlignment="1">
      <alignment horizontal="center" vertical="center"/>
    </xf>
    <xf numFmtId="164" fontId="20" fillId="0" borderId="0" xfId="49" applyNumberFormat="1" applyFont="1" applyFill="1" applyBorder="1" applyAlignment="1">
      <alignment horizontal="center" vertical="center"/>
    </xf>
    <xf numFmtId="0" fontId="43" fillId="0" borderId="16" xfId="46" applyFont="1" applyBorder="1" applyAlignment="1">
      <alignment vertical="center"/>
    </xf>
    <xf numFmtId="0" fontId="43" fillId="0" borderId="16" xfId="46" applyFont="1" applyBorder="1" applyAlignment="1">
      <alignment horizontal="center" vertical="center" wrapText="1"/>
    </xf>
    <xf numFmtId="0" fontId="43" fillId="0" borderId="16" xfId="46" applyFont="1" applyBorder="1" applyAlignment="1">
      <alignment horizontal="center" vertical="center"/>
    </xf>
    <xf numFmtId="0" fontId="21" fillId="0" borderId="0" xfId="46" applyFont="1"/>
    <xf numFmtId="0" fontId="41" fillId="0" borderId="0" xfId="43" applyFont="1"/>
    <xf numFmtId="0" fontId="31" fillId="0" borderId="0" xfId="43" applyFont="1"/>
    <xf numFmtId="0" fontId="31" fillId="0" borderId="0" xfId="43" applyFont="1" applyAlignment="1">
      <alignment horizontal="center" vertical="center"/>
    </xf>
    <xf numFmtId="0" fontId="46" fillId="0" borderId="0" xfId="43" applyFont="1"/>
    <xf numFmtId="0" fontId="25" fillId="0" borderId="0" xfId="44" applyFont="1" applyAlignment="1">
      <alignment horizontal="left"/>
    </xf>
    <xf numFmtId="9" fontId="31" fillId="7" borderId="0" xfId="43" applyNumberFormat="1" applyFont="1" applyFill="1" applyAlignment="1">
      <alignment horizontal="center" vertical="center"/>
    </xf>
    <xf numFmtId="0" fontId="52" fillId="0" borderId="0" xfId="44" applyFont="1"/>
    <xf numFmtId="0" fontId="43" fillId="0" borderId="41" xfId="43" applyFont="1" applyBorder="1"/>
    <xf numFmtId="0" fontId="43" fillId="0" borderId="15" xfId="43" applyFont="1" applyBorder="1"/>
    <xf numFmtId="0" fontId="43" fillId="0" borderId="42" xfId="43" applyFont="1" applyBorder="1"/>
    <xf numFmtId="0" fontId="43" fillId="0" borderId="42" xfId="43" applyFont="1" applyBorder="1" applyAlignment="1">
      <alignment horizontal="center" vertical="center"/>
    </xf>
    <xf numFmtId="0" fontId="43" fillId="0" borderId="43" xfId="43" applyFont="1" applyBorder="1" applyAlignment="1">
      <alignment horizontal="center" vertical="center"/>
    </xf>
    <xf numFmtId="1" fontId="43" fillId="0" borderId="42" xfId="43" applyNumberFormat="1" applyFont="1" applyBorder="1" applyAlignment="1">
      <alignment horizontal="center" vertical="center"/>
    </xf>
    <xf numFmtId="1" fontId="43" fillId="0" borderId="44" xfId="43" applyNumberFormat="1" applyFont="1" applyBorder="1" applyAlignment="1">
      <alignment horizontal="center" vertical="center"/>
    </xf>
    <xf numFmtId="0" fontId="44" fillId="0" borderId="45" xfId="43" applyFont="1" applyBorder="1" applyAlignment="1">
      <alignment horizontal="center" vertical="center" wrapText="1"/>
    </xf>
    <xf numFmtId="0" fontId="44" fillId="0" borderId="40" xfId="43" applyFont="1" applyBorder="1" applyAlignment="1">
      <alignment horizontal="center" vertical="center" wrapText="1"/>
    </xf>
    <xf numFmtId="0" fontId="43" fillId="0" borderId="47" xfId="43" applyFont="1" applyBorder="1"/>
    <xf numFmtId="0" fontId="43" fillId="0" borderId="7" xfId="43" applyFont="1" applyBorder="1"/>
    <xf numFmtId="0" fontId="43" fillId="0" borderId="48" xfId="43" applyFont="1" applyBorder="1"/>
    <xf numFmtId="0" fontId="43" fillId="0" borderId="48" xfId="43" applyFont="1" applyBorder="1" applyAlignment="1">
      <alignment horizontal="center" vertical="center"/>
    </xf>
    <xf numFmtId="0" fontId="43" fillId="0" borderId="49" xfId="43" applyFont="1" applyBorder="1" applyAlignment="1">
      <alignment horizontal="center" vertical="center"/>
    </xf>
    <xf numFmtId="1" fontId="43" fillId="0" borderId="48" xfId="43" applyNumberFormat="1" applyFont="1" applyBorder="1" applyAlignment="1">
      <alignment horizontal="center" vertical="center"/>
    </xf>
    <xf numFmtId="1" fontId="43" fillId="0" borderId="50" xfId="43" applyNumberFormat="1" applyFont="1" applyBorder="1" applyAlignment="1">
      <alignment horizontal="center" vertical="center"/>
    </xf>
    <xf numFmtId="0" fontId="43" fillId="0" borderId="45" xfId="43" applyFont="1" applyBorder="1"/>
    <xf numFmtId="0" fontId="43" fillId="0" borderId="40" xfId="43" applyFont="1" applyBorder="1" applyAlignment="1">
      <alignment horizontal="center" vertical="center"/>
    </xf>
    <xf numFmtId="1" fontId="43" fillId="0" borderId="46" xfId="43" applyNumberFormat="1" applyFont="1" applyBorder="1" applyAlignment="1">
      <alignment horizontal="center" vertical="center"/>
    </xf>
    <xf numFmtId="0" fontId="43" fillId="0" borderId="45" xfId="43" applyFont="1" applyBorder="1" applyAlignment="1">
      <alignment horizontal="center" vertical="center" wrapText="1"/>
    </xf>
    <xf numFmtId="0" fontId="43" fillId="0" borderId="40" xfId="43" quotePrefix="1" applyFont="1" applyBorder="1" applyAlignment="1">
      <alignment horizontal="center" vertical="center"/>
    </xf>
    <xf numFmtId="0" fontId="43" fillId="0" borderId="37" xfId="43" applyFont="1" applyBorder="1" applyAlignment="1">
      <alignment horizontal="left"/>
    </xf>
    <xf numFmtId="0" fontId="43" fillId="0" borderId="7" xfId="43" applyFont="1" applyBorder="1" applyAlignment="1">
      <alignment horizontal="left"/>
    </xf>
    <xf numFmtId="0" fontId="43" fillId="0" borderId="48" xfId="43" applyFont="1" applyBorder="1" applyAlignment="1">
      <alignment horizontal="left"/>
    </xf>
    <xf numFmtId="0" fontId="52" fillId="0" borderId="0" xfId="43" applyFont="1"/>
    <xf numFmtId="0" fontId="43" fillId="0" borderId="15" xfId="43" applyFont="1" applyBorder="1" applyAlignment="1">
      <alignment horizontal="center" vertical="center"/>
    </xf>
    <xf numFmtId="0" fontId="43" fillId="0" borderId="51" xfId="43" applyFont="1" applyBorder="1" applyAlignment="1">
      <alignment horizontal="center" vertical="center"/>
    </xf>
    <xf numFmtId="0" fontId="43" fillId="0" borderId="44" xfId="43" applyFont="1" applyBorder="1" applyAlignment="1">
      <alignment horizontal="center" vertical="center"/>
    </xf>
    <xf numFmtId="0" fontId="44" fillId="0" borderId="0" xfId="43" applyFont="1" applyAlignment="1">
      <alignment horizontal="center" vertical="center" wrapText="1"/>
    </xf>
    <xf numFmtId="0" fontId="44" fillId="0" borderId="46" xfId="43" applyFont="1" applyBorder="1" applyAlignment="1">
      <alignment horizontal="center" vertical="center" wrapText="1"/>
    </xf>
    <xf numFmtId="0" fontId="43" fillId="0" borderId="7" xfId="43" applyFont="1" applyBorder="1" applyAlignment="1">
      <alignment horizontal="center" vertical="center"/>
    </xf>
    <xf numFmtId="0" fontId="43" fillId="0" borderId="16" xfId="43" applyFont="1" applyBorder="1" applyAlignment="1">
      <alignment horizontal="center" vertical="center"/>
    </xf>
    <xf numFmtId="0" fontId="43" fillId="0" borderId="50" xfId="43" applyFont="1" applyBorder="1" applyAlignment="1">
      <alignment horizontal="center" vertical="center"/>
    </xf>
    <xf numFmtId="0" fontId="31" fillId="0" borderId="45" xfId="43" applyFont="1" applyBorder="1" applyAlignment="1">
      <alignment vertical="center"/>
    </xf>
    <xf numFmtId="0" fontId="31" fillId="0" borderId="46" xfId="43" applyFont="1" applyBorder="1" applyAlignment="1">
      <alignment horizontal="center" vertical="center"/>
    </xf>
    <xf numFmtId="0" fontId="31" fillId="0" borderId="0" xfId="43" applyFont="1" applyAlignment="1">
      <alignment horizontal="left" vertical="center"/>
    </xf>
    <xf numFmtId="0" fontId="31" fillId="0" borderId="46" xfId="43" applyFont="1" applyBorder="1" applyAlignment="1">
      <alignment horizontal="left" vertical="center"/>
    </xf>
    <xf numFmtId="0" fontId="31" fillId="0" borderId="47" xfId="43" applyFont="1" applyBorder="1"/>
    <xf numFmtId="0" fontId="31" fillId="0" borderId="7" xfId="43" applyFont="1" applyBorder="1"/>
    <xf numFmtId="0" fontId="31" fillId="0" borderId="16" xfId="43" applyFont="1" applyBorder="1" applyAlignment="1">
      <alignment horizontal="center" vertical="center"/>
    </xf>
    <xf numFmtId="0" fontId="31" fillId="0" borderId="7" xfId="43" applyFont="1" applyBorder="1" applyAlignment="1">
      <alignment horizontal="center" vertical="center"/>
    </xf>
    <xf numFmtId="0" fontId="31" fillId="0" borderId="48" xfId="43" applyFont="1" applyBorder="1" applyAlignment="1">
      <alignment horizontal="center" vertical="center"/>
    </xf>
    <xf numFmtId="0" fontId="31" fillId="0" borderId="50" xfId="43" applyFont="1" applyBorder="1" applyAlignment="1">
      <alignment horizontal="center" vertical="center"/>
    </xf>
    <xf numFmtId="0" fontId="52" fillId="0" borderId="41" xfId="43" applyFont="1" applyBorder="1"/>
    <xf numFmtId="0" fontId="31" fillId="0" borderId="52" xfId="43" applyFont="1" applyBorder="1" applyAlignment="1">
      <alignment horizontal="center"/>
    </xf>
    <xf numFmtId="0" fontId="31" fillId="0" borderId="0" xfId="43" applyFont="1" applyAlignment="1">
      <alignment horizontal="center"/>
    </xf>
    <xf numFmtId="0" fontId="52" fillId="0" borderId="45" xfId="43" applyFont="1" applyBorder="1" applyAlignment="1">
      <alignment horizontal="center"/>
    </xf>
    <xf numFmtId="0" fontId="52" fillId="0" borderId="0" xfId="43" applyFont="1" applyAlignment="1">
      <alignment horizontal="center"/>
    </xf>
    <xf numFmtId="0" fontId="52" fillId="0" borderId="0" xfId="43" applyFont="1" applyAlignment="1">
      <alignment horizontal="center" vertical="center"/>
    </xf>
    <xf numFmtId="0" fontId="52" fillId="0" borderId="45" xfId="43" applyFont="1" applyBorder="1"/>
    <xf numFmtId="0" fontId="31" fillId="0" borderId="41" xfId="43" applyFont="1" applyBorder="1" applyAlignment="1">
      <alignment horizontal="center"/>
    </xf>
    <xf numFmtId="0" fontId="31" fillId="0" borderId="45" xfId="43" applyFont="1" applyBorder="1" applyAlignment="1">
      <alignment horizontal="center"/>
    </xf>
    <xf numFmtId="0" fontId="31" fillId="0" borderId="47" xfId="43" applyFont="1" applyBorder="1" applyAlignment="1">
      <alignment horizontal="center"/>
    </xf>
    <xf numFmtId="0" fontId="31" fillId="0" borderId="36" xfId="43" applyFont="1" applyBorder="1" applyAlignment="1">
      <alignment horizontal="center"/>
    </xf>
    <xf numFmtId="0" fontId="31" fillId="0" borderId="0" xfId="43" applyFont="1" applyAlignment="1">
      <alignment horizontal="left"/>
    </xf>
    <xf numFmtId="0" fontId="43" fillId="0" borderId="0" xfId="46" applyFont="1" applyAlignment="1">
      <alignment horizontal="left" indent="1"/>
    </xf>
    <xf numFmtId="0" fontId="43" fillId="0" borderId="0" xfId="46" applyFont="1" applyAlignment="1">
      <alignment horizontal="center" vertical="center"/>
    </xf>
    <xf numFmtId="0" fontId="27" fillId="0" borderId="18" xfId="34" applyFont="1" applyBorder="1" applyAlignment="1">
      <alignment horizontal="center"/>
    </xf>
    <xf numFmtId="0" fontId="27" fillId="0" borderId="54" xfId="34" applyFont="1" applyBorder="1" applyAlignment="1">
      <alignment horizontal="center"/>
    </xf>
    <xf numFmtId="0" fontId="28" fillId="6" borderId="41" xfId="0" applyFont="1" applyFill="1" applyBorder="1" applyAlignment="1">
      <alignment horizontal="center" vertical="center"/>
    </xf>
    <xf numFmtId="0" fontId="18" fillId="0" borderId="4" xfId="0" applyFont="1" applyBorder="1" applyAlignment="1">
      <alignment vertical="center"/>
    </xf>
    <xf numFmtId="0" fontId="18" fillId="0" borderId="5" xfId="0" applyFont="1" applyBorder="1" applyAlignment="1">
      <alignment vertical="center"/>
    </xf>
    <xf numFmtId="0" fontId="23" fillId="0" borderId="0" xfId="33" applyFont="1"/>
    <xf numFmtId="0" fontId="27" fillId="0" borderId="0" xfId="33" applyFont="1"/>
    <xf numFmtId="0" fontId="30" fillId="0" borderId="0" xfId="33" applyFont="1"/>
    <xf numFmtId="0" fontId="23" fillId="0" borderId="0" xfId="33" applyFont="1" applyAlignment="1">
      <alignment horizontal="center"/>
    </xf>
    <xf numFmtId="0" fontId="24" fillId="0" borderId="0" xfId="25" applyFont="1"/>
    <xf numFmtId="0" fontId="29" fillId="0" borderId="0" xfId="33" applyFont="1" applyAlignment="1">
      <alignment vertical="top" wrapText="1"/>
    </xf>
    <xf numFmtId="0" fontId="24" fillId="0" borderId="0" xfId="31" applyFont="1"/>
    <xf numFmtId="172" fontId="28" fillId="6" borderId="23" xfId="33" applyNumberFormat="1" applyFont="1" applyFill="1" applyBorder="1" applyAlignment="1">
      <alignment horizontal="left" vertical="center"/>
    </xf>
    <xf numFmtId="0" fontId="59" fillId="6" borderId="38" xfId="33" applyFont="1" applyFill="1" applyBorder="1" applyAlignment="1">
      <alignment horizontal="center"/>
    </xf>
    <xf numFmtId="0" fontId="59" fillId="6" borderId="39" xfId="33" applyFont="1" applyFill="1" applyBorder="1" applyAlignment="1">
      <alignment horizontal="center"/>
    </xf>
    <xf numFmtId="0" fontId="59" fillId="6" borderId="57" xfId="33" applyFont="1" applyFill="1" applyBorder="1" applyAlignment="1">
      <alignment horizontal="center"/>
    </xf>
    <xf numFmtId="0" fontId="59" fillId="6" borderId="10" xfId="33" applyFont="1" applyFill="1" applyBorder="1" applyAlignment="1">
      <alignment horizontal="center"/>
    </xf>
    <xf numFmtId="0" fontId="59" fillId="6" borderId="25" xfId="33" applyFont="1" applyFill="1" applyBorder="1" applyAlignment="1">
      <alignment horizontal="center"/>
    </xf>
    <xf numFmtId="0" fontId="59" fillId="6" borderId="24" xfId="33" applyFont="1" applyFill="1" applyBorder="1" applyAlignment="1">
      <alignment horizontal="center"/>
    </xf>
    <xf numFmtId="0" fontId="59" fillId="6" borderId="60" xfId="33" applyFont="1" applyFill="1" applyBorder="1" applyAlignment="1">
      <alignment horizontal="center"/>
    </xf>
    <xf numFmtId="0" fontId="59" fillId="6" borderId="14" xfId="33" applyFont="1" applyFill="1" applyBorder="1" applyAlignment="1">
      <alignment horizontal="center"/>
    </xf>
    <xf numFmtId="2" fontId="27" fillId="0" borderId="0" xfId="33" applyNumberFormat="1" applyFont="1"/>
    <xf numFmtId="172" fontId="60" fillId="0" borderId="61" xfId="33" applyNumberFormat="1" applyFont="1" applyBorder="1" applyAlignment="1">
      <alignment horizontal="left" vertical="center" indent="1"/>
    </xf>
    <xf numFmtId="175" fontId="27" fillId="0" borderId="62" xfId="33" applyNumberFormat="1" applyFont="1" applyBorder="1" applyAlignment="1">
      <alignment horizontal="center"/>
    </xf>
    <xf numFmtId="4" fontId="59" fillId="6" borderId="25" xfId="33" applyNumberFormat="1" applyFont="1" applyFill="1" applyBorder="1" applyAlignment="1">
      <alignment horizontal="center"/>
    </xf>
    <xf numFmtId="4" fontId="59" fillId="6" borderId="24" xfId="33" applyNumberFormat="1" applyFont="1" applyFill="1" applyBorder="1" applyAlignment="1">
      <alignment horizontal="center"/>
    </xf>
    <xf numFmtId="4" fontId="59" fillId="6" borderId="60" xfId="33" applyNumberFormat="1" applyFont="1" applyFill="1" applyBorder="1" applyAlignment="1">
      <alignment horizontal="center"/>
    </xf>
    <xf numFmtId="4" fontId="59" fillId="6" borderId="14" xfId="33" applyNumberFormat="1" applyFont="1" applyFill="1" applyBorder="1" applyAlignment="1">
      <alignment horizontal="center"/>
    </xf>
    <xf numFmtId="4" fontId="59" fillId="6" borderId="23" xfId="33" applyNumberFormat="1" applyFont="1" applyFill="1" applyBorder="1" applyAlignment="1">
      <alignment vertical="center"/>
    </xf>
    <xf numFmtId="167" fontId="27" fillId="0" borderId="22" xfId="33" applyNumberFormat="1" applyFont="1" applyBorder="1" applyAlignment="1">
      <alignment horizontal="center"/>
    </xf>
    <xf numFmtId="167" fontId="27" fillId="0" borderId="64" xfId="33" applyNumberFormat="1" applyFont="1" applyBorder="1" applyAlignment="1">
      <alignment horizontal="center"/>
    </xf>
    <xf numFmtId="167" fontId="27" fillId="0" borderId="21" xfId="33" applyNumberFormat="1" applyFont="1" applyBorder="1" applyAlignment="1">
      <alignment horizontal="center"/>
    </xf>
    <xf numFmtId="167" fontId="27" fillId="0" borderId="65" xfId="33" applyNumberFormat="1" applyFont="1" applyBorder="1" applyAlignment="1">
      <alignment horizontal="center"/>
    </xf>
    <xf numFmtId="14" fontId="27" fillId="0" borderId="0" xfId="33" applyNumberFormat="1" applyFont="1"/>
    <xf numFmtId="175" fontId="27" fillId="0" borderId="0" xfId="33" applyNumberFormat="1" applyFont="1"/>
    <xf numFmtId="0" fontId="27" fillId="0" borderId="0" xfId="33" applyFont="1" applyAlignment="1">
      <alignment horizontal="center"/>
    </xf>
    <xf numFmtId="167" fontId="27" fillId="0" borderId="0" xfId="33" applyNumberFormat="1" applyFont="1" applyAlignment="1">
      <alignment horizontal="center"/>
    </xf>
    <xf numFmtId="0" fontId="31" fillId="0" borderId="41" xfId="43" applyFont="1" applyBorder="1"/>
    <xf numFmtId="0" fontId="31" fillId="0" borderId="45" xfId="43" applyFont="1" applyBorder="1"/>
    <xf numFmtId="0" fontId="20" fillId="0" borderId="45" xfId="0" applyFont="1" applyBorder="1" applyAlignment="1">
      <alignment horizontal="left"/>
    </xf>
    <xf numFmtId="0" fontId="20" fillId="0" borderId="45" xfId="0" applyFont="1" applyBorder="1" applyAlignment="1">
      <alignment horizontal="left" vertical="center"/>
    </xf>
    <xf numFmtId="11" fontId="20" fillId="9" borderId="0" xfId="0" applyNumberFormat="1" applyFont="1" applyFill="1" applyAlignment="1">
      <alignment horizontal="center" vertical="center" wrapText="1"/>
    </xf>
    <xf numFmtId="0" fontId="20" fillId="9" borderId="0" xfId="0" applyFont="1" applyFill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31" fillId="0" borderId="42" xfId="43" applyFont="1" applyBorder="1"/>
    <xf numFmtId="0" fontId="31" fillId="0" borderId="54" xfId="43" applyFont="1" applyBorder="1"/>
    <xf numFmtId="0" fontId="31" fillId="0" borderId="9" xfId="43" applyFont="1" applyBorder="1"/>
    <xf numFmtId="0" fontId="31" fillId="0" borderId="52" xfId="43" applyFont="1" applyBorder="1"/>
    <xf numFmtId="0" fontId="31" fillId="0" borderId="58" xfId="43" applyFont="1" applyBorder="1"/>
    <xf numFmtId="11" fontId="43" fillId="0" borderId="0" xfId="43" applyNumberFormat="1" applyFont="1" applyAlignment="1">
      <alignment horizontal="center" vertical="center"/>
    </xf>
    <xf numFmtId="172" fontId="60" fillId="0" borderId="59" xfId="33" applyNumberFormat="1" applyFont="1" applyBorder="1" applyAlignment="1">
      <alignment horizontal="left" vertical="center" indent="1"/>
    </xf>
    <xf numFmtId="0" fontId="31" fillId="0" borderId="36" xfId="43" applyFont="1" applyBorder="1"/>
    <xf numFmtId="1" fontId="43" fillId="0" borderId="51" xfId="43" applyNumberFormat="1" applyFont="1" applyBorder="1" applyAlignment="1">
      <alignment horizontal="center" vertical="center"/>
    </xf>
    <xf numFmtId="1" fontId="43" fillId="0" borderId="16" xfId="43" applyNumberFormat="1" applyFont="1" applyBorder="1" applyAlignment="1">
      <alignment horizontal="center" vertical="center"/>
    </xf>
    <xf numFmtId="3" fontId="43" fillId="0" borderId="0" xfId="43" applyNumberFormat="1" applyFont="1" applyAlignment="1">
      <alignment horizontal="center" vertical="center"/>
    </xf>
    <xf numFmtId="0" fontId="43" fillId="0" borderId="0" xfId="14" applyFont="1"/>
    <xf numFmtId="0" fontId="43" fillId="0" borderId="0" xfId="14" applyFont="1" applyAlignment="1">
      <alignment horizontal="center" vertical="center"/>
    </xf>
    <xf numFmtId="0" fontId="62" fillId="0" borderId="0" xfId="14" applyFont="1" applyAlignment="1">
      <alignment vertical="center" wrapText="1"/>
    </xf>
    <xf numFmtId="173" fontId="27" fillId="0" borderId="11" xfId="14" quotePrefix="1" applyNumberFormat="1" applyFont="1" applyBorder="1" applyAlignment="1">
      <alignment horizontal="center"/>
    </xf>
    <xf numFmtId="173" fontId="43" fillId="0" borderId="11" xfId="14" applyNumberFormat="1" applyFont="1" applyBorder="1" applyAlignment="1">
      <alignment horizontal="center"/>
    </xf>
    <xf numFmtId="173" fontId="43" fillId="0" borderId="26" xfId="14" applyNumberFormat="1" applyFont="1" applyBorder="1" applyAlignment="1">
      <alignment horizontal="center"/>
    </xf>
    <xf numFmtId="173" fontId="43" fillId="0" borderId="0" xfId="14" applyNumberFormat="1" applyFont="1"/>
    <xf numFmtId="173" fontId="27" fillId="0" borderId="1" xfId="14" quotePrefix="1" applyNumberFormat="1" applyFont="1" applyBorder="1" applyAlignment="1">
      <alignment horizontal="center"/>
    </xf>
    <xf numFmtId="173" fontId="43" fillId="0" borderId="1" xfId="14" applyNumberFormat="1" applyFont="1" applyBorder="1" applyAlignment="1">
      <alignment horizontal="center"/>
    </xf>
    <xf numFmtId="173" fontId="43" fillId="0" borderId="33" xfId="14" applyNumberFormat="1" applyFont="1" applyBorder="1" applyAlignment="1">
      <alignment horizontal="center"/>
    </xf>
    <xf numFmtId="173" fontId="27" fillId="0" borderId="2" xfId="14" quotePrefix="1" applyNumberFormat="1" applyFont="1" applyBorder="1" applyAlignment="1">
      <alignment horizontal="center"/>
    </xf>
    <xf numFmtId="173" fontId="43" fillId="0" borderId="2" xfId="14" applyNumberFormat="1" applyFont="1" applyBorder="1" applyAlignment="1">
      <alignment horizontal="center"/>
    </xf>
    <xf numFmtId="173" fontId="43" fillId="0" borderId="24" xfId="14" applyNumberFormat="1" applyFont="1" applyBorder="1" applyAlignment="1">
      <alignment horizontal="center"/>
    </xf>
    <xf numFmtId="0" fontId="63" fillId="0" borderId="0" xfId="14" applyFont="1"/>
    <xf numFmtId="0" fontId="43" fillId="0" borderId="0" xfId="14" applyFont="1" applyAlignment="1">
      <alignment horizontal="center"/>
    </xf>
    <xf numFmtId="2" fontId="43" fillId="0" borderId="0" xfId="14" applyNumberFormat="1" applyFont="1"/>
    <xf numFmtId="0" fontId="44" fillId="0" borderId="0" xfId="14" applyFont="1"/>
    <xf numFmtId="2" fontId="43" fillId="0" borderId="0" xfId="14" applyNumberFormat="1" applyFont="1" applyAlignment="1">
      <alignment horizontal="center"/>
    </xf>
    <xf numFmtId="172" fontId="28" fillId="0" borderId="55" xfId="33" applyNumberFormat="1" applyFont="1" applyBorder="1" applyAlignment="1">
      <alignment horizontal="left" vertical="center"/>
    </xf>
    <xf numFmtId="175" fontId="59" fillId="0" borderId="38" xfId="33" applyNumberFormat="1" applyFont="1" applyBorder="1" applyAlignment="1">
      <alignment horizontal="center"/>
    </xf>
    <xf numFmtId="175" fontId="59" fillId="0" borderId="57" xfId="33" applyNumberFormat="1" applyFont="1" applyBorder="1" applyAlignment="1">
      <alignment horizontal="center"/>
    </xf>
    <xf numFmtId="175" fontId="59" fillId="0" borderId="39" xfId="33" applyNumberFormat="1" applyFont="1" applyBorder="1" applyAlignment="1">
      <alignment horizontal="center"/>
    </xf>
    <xf numFmtId="175" fontId="59" fillId="0" borderId="10" xfId="33" applyNumberFormat="1" applyFont="1" applyBorder="1" applyAlignment="1">
      <alignment horizontal="center"/>
    </xf>
    <xf numFmtId="175" fontId="27" fillId="0" borderId="40" xfId="33" applyNumberFormat="1" applyFont="1" applyBorder="1" applyAlignment="1">
      <alignment horizontal="center"/>
    </xf>
    <xf numFmtId="4" fontId="27" fillId="0" borderId="62" xfId="33" applyNumberFormat="1" applyFont="1" applyBorder="1" applyAlignment="1">
      <alignment horizontal="center"/>
    </xf>
    <xf numFmtId="4" fontId="27" fillId="0" borderId="40" xfId="33" applyNumberFormat="1" applyFont="1" applyBorder="1" applyAlignment="1">
      <alignment horizontal="center"/>
    </xf>
    <xf numFmtId="175" fontId="27" fillId="0" borderId="36" xfId="33" applyNumberFormat="1" applyFont="1" applyBorder="1" applyAlignment="1">
      <alignment horizontal="center"/>
    </xf>
    <xf numFmtId="0" fontId="59" fillId="6" borderId="34" xfId="33" applyFont="1" applyFill="1" applyBorder="1" applyAlignment="1">
      <alignment horizontal="center"/>
    </xf>
    <xf numFmtId="0" fontId="59" fillId="6" borderId="13" xfId="33" applyFont="1" applyFill="1" applyBorder="1" applyAlignment="1">
      <alignment horizontal="center"/>
    </xf>
    <xf numFmtId="0" fontId="59" fillId="6" borderId="33" xfId="33" applyFont="1" applyFill="1" applyBorder="1" applyAlignment="1">
      <alignment horizontal="center"/>
    </xf>
    <xf numFmtId="0" fontId="59" fillId="6" borderId="5" xfId="33" applyFont="1" applyFill="1" applyBorder="1" applyAlignment="1">
      <alignment horizontal="center"/>
    </xf>
    <xf numFmtId="0" fontId="27" fillId="10" borderId="30" xfId="34" applyFont="1" applyFill="1" applyBorder="1" applyAlignment="1">
      <alignment horizontal="center"/>
    </xf>
    <xf numFmtId="0" fontId="27" fillId="10" borderId="54" xfId="34" applyFont="1" applyFill="1" applyBorder="1" applyAlignment="1">
      <alignment horizontal="center"/>
    </xf>
    <xf numFmtId="0" fontId="27" fillId="10" borderId="29" xfId="34" applyFont="1" applyFill="1" applyBorder="1" applyAlignment="1">
      <alignment horizontal="center"/>
    </xf>
    <xf numFmtId="0" fontId="27" fillId="10" borderId="47" xfId="34" applyFont="1" applyFill="1" applyBorder="1" applyAlignment="1">
      <alignment horizontal="center"/>
    </xf>
    <xf numFmtId="173" fontId="27" fillId="10" borderId="2" xfId="14" quotePrefix="1" applyNumberFormat="1" applyFont="1" applyFill="1" applyBorder="1" applyAlignment="1">
      <alignment horizontal="center"/>
    </xf>
    <xf numFmtId="173" fontId="43" fillId="10" borderId="2" xfId="14" applyNumberFormat="1" applyFont="1" applyFill="1" applyBorder="1" applyAlignment="1">
      <alignment horizontal="center"/>
    </xf>
    <xf numFmtId="173" fontId="43" fillId="10" borderId="24" xfId="14" applyNumberFormat="1" applyFont="1" applyFill="1" applyBorder="1" applyAlignment="1">
      <alignment horizontal="center"/>
    </xf>
    <xf numFmtId="173" fontId="27" fillId="10" borderId="1" xfId="14" quotePrefix="1" applyNumberFormat="1" applyFont="1" applyFill="1" applyBorder="1" applyAlignment="1">
      <alignment horizontal="center"/>
    </xf>
    <xf numFmtId="173" fontId="43" fillId="10" borderId="1" xfId="14" applyNumberFormat="1" applyFont="1" applyFill="1" applyBorder="1" applyAlignment="1">
      <alignment horizontal="center"/>
    </xf>
    <xf numFmtId="173" fontId="43" fillId="10" borderId="33" xfId="14" applyNumberFormat="1" applyFont="1" applyFill="1" applyBorder="1" applyAlignment="1">
      <alignment horizontal="center"/>
    </xf>
    <xf numFmtId="14" fontId="31" fillId="0" borderId="0" xfId="43" applyNumberFormat="1" applyFont="1"/>
    <xf numFmtId="172" fontId="20" fillId="0" borderId="0" xfId="29" applyFont="1" applyAlignment="1">
      <alignment horizontal="center" vertical="top"/>
    </xf>
    <xf numFmtId="172" fontId="20" fillId="0" borderId="18" xfId="29" applyFont="1" applyBorder="1"/>
    <xf numFmtId="175" fontId="20" fillId="0" borderId="35" xfId="29" applyNumberFormat="1" applyFont="1" applyBorder="1" applyAlignment="1">
      <alignment horizontal="center"/>
    </xf>
    <xf numFmtId="175" fontId="20" fillId="0" borderId="26" xfId="29" applyNumberFormat="1" applyFont="1" applyBorder="1" applyAlignment="1">
      <alignment horizontal="center" wrapText="1"/>
    </xf>
    <xf numFmtId="172" fontId="20" fillId="0" borderId="3" xfId="29" applyFont="1" applyBorder="1"/>
    <xf numFmtId="175" fontId="20" fillId="0" borderId="1" xfId="29" applyNumberFormat="1" applyFont="1" applyBorder="1" applyAlignment="1">
      <alignment horizontal="center"/>
    </xf>
    <xf numFmtId="175" fontId="20" fillId="0" borderId="5" xfId="29" applyNumberFormat="1" applyFont="1" applyBorder="1" applyAlignment="1">
      <alignment horizontal="center"/>
    </xf>
    <xf numFmtId="175" fontId="20" fillId="0" borderId="33" xfId="29" applyNumberFormat="1" applyFont="1" applyBorder="1" applyAlignment="1">
      <alignment horizontal="center" wrapText="1"/>
    </xf>
    <xf numFmtId="175" fontId="20" fillId="0" borderId="14" xfId="29" applyNumberFormat="1" applyFont="1" applyBorder="1" applyAlignment="1">
      <alignment horizontal="center"/>
    </xf>
    <xf numFmtId="2" fontId="20" fillId="0" borderId="0" xfId="29" applyNumberFormat="1" applyFont="1" applyAlignment="1">
      <alignment wrapText="1"/>
    </xf>
    <xf numFmtId="2" fontId="20" fillId="0" borderId="0" xfId="29" applyNumberFormat="1" applyFont="1" applyAlignment="1">
      <alignment horizontal="center"/>
    </xf>
    <xf numFmtId="175" fontId="20" fillId="0" borderId="24" xfId="29" applyNumberFormat="1" applyFont="1" applyBorder="1" applyAlignment="1">
      <alignment horizontal="center" wrapText="1"/>
    </xf>
    <xf numFmtId="2" fontId="20" fillId="0" borderId="0" xfId="29" applyNumberFormat="1" applyFont="1"/>
    <xf numFmtId="176" fontId="20" fillId="0" borderId="33" xfId="29" applyNumberFormat="1" applyFont="1" applyBorder="1" applyAlignment="1">
      <alignment horizontal="center" wrapText="1"/>
    </xf>
    <xf numFmtId="2" fontId="22" fillId="0" borderId="25" xfId="29" applyNumberFormat="1" applyFont="1" applyBorder="1" applyAlignment="1">
      <alignment horizontal="center"/>
    </xf>
    <xf numFmtId="2" fontId="22" fillId="0" borderId="2" xfId="29" applyNumberFormat="1" applyFont="1" applyBorder="1" applyAlignment="1">
      <alignment horizontal="center"/>
    </xf>
    <xf numFmtId="2" fontId="22" fillId="0" borderId="63" xfId="29" applyNumberFormat="1" applyFont="1" applyBorder="1" applyAlignment="1">
      <alignment horizontal="center"/>
    </xf>
    <xf numFmtId="2" fontId="22" fillId="0" borderId="14" xfId="29" applyNumberFormat="1" applyFont="1" applyBorder="1" applyAlignment="1">
      <alignment horizontal="center"/>
    </xf>
    <xf numFmtId="2" fontId="22" fillId="0" borderId="24" xfId="29" applyNumberFormat="1" applyFont="1" applyBorder="1" applyAlignment="1">
      <alignment horizontal="center"/>
    </xf>
    <xf numFmtId="0" fontId="43" fillId="0" borderId="0" xfId="46" quotePrefix="1" applyFont="1" applyAlignment="1">
      <alignment horizontal="left" vertical="center"/>
    </xf>
    <xf numFmtId="11" fontId="43" fillId="0" borderId="0" xfId="46" applyNumberFormat="1" applyFont="1" applyAlignment="1">
      <alignment horizontal="left" vertical="center"/>
    </xf>
    <xf numFmtId="0" fontId="43" fillId="0" borderId="0" xfId="43" applyFont="1" applyAlignment="1">
      <alignment horizontal="left"/>
    </xf>
    <xf numFmtId="1" fontId="43" fillId="3" borderId="46" xfId="43" applyNumberFormat="1" applyFont="1" applyFill="1" applyBorder="1" applyAlignment="1">
      <alignment horizontal="center" vertical="center"/>
    </xf>
    <xf numFmtId="3" fontId="31" fillId="0" borderId="0" xfId="43" applyNumberFormat="1" applyFont="1" applyAlignment="1">
      <alignment horizontal="center" vertical="center"/>
    </xf>
    <xf numFmtId="174" fontId="31" fillId="0" borderId="0" xfId="43" applyNumberFormat="1" applyFont="1" applyAlignment="1">
      <alignment horizontal="center" vertical="center"/>
    </xf>
    <xf numFmtId="172" fontId="20" fillId="0" borderId="41" xfId="29" applyFont="1" applyBorder="1" applyAlignment="1">
      <alignment horizontal="center"/>
    </xf>
    <xf numFmtId="172" fontId="22" fillId="0" borderId="18" xfId="29" applyFont="1" applyBorder="1"/>
    <xf numFmtId="2" fontId="20" fillId="0" borderId="18" xfId="29" applyNumberFormat="1" applyFont="1" applyBorder="1" applyAlignment="1">
      <alignment horizontal="center" wrapText="1"/>
    </xf>
    <xf numFmtId="172" fontId="20" fillId="0" borderId="11" xfId="29" applyFont="1" applyBorder="1" applyAlignment="1">
      <alignment horizontal="center"/>
    </xf>
    <xf numFmtId="172" fontId="20" fillId="0" borderId="35" xfId="29" applyFont="1" applyBorder="1" applyAlignment="1">
      <alignment horizontal="center"/>
    </xf>
    <xf numFmtId="172" fontId="20" fillId="0" borderId="26" xfId="29" applyFont="1" applyBorder="1" applyAlignment="1">
      <alignment horizontal="center"/>
    </xf>
    <xf numFmtId="172" fontId="20" fillId="0" borderId="3" xfId="29" applyFont="1" applyBorder="1" applyAlignment="1">
      <alignment wrapText="1"/>
    </xf>
    <xf numFmtId="175" fontId="20" fillId="0" borderId="34" xfId="29" applyNumberFormat="1" applyFont="1" applyBorder="1" applyAlignment="1">
      <alignment horizontal="center"/>
    </xf>
    <xf numFmtId="175" fontId="20" fillId="0" borderId="33" xfId="29" applyNumberFormat="1" applyFont="1" applyBorder="1" applyAlignment="1">
      <alignment horizontal="center"/>
    </xf>
    <xf numFmtId="2" fontId="22" fillId="0" borderId="66" xfId="29" applyNumberFormat="1" applyFont="1" applyBorder="1"/>
    <xf numFmtId="175" fontId="20" fillId="0" borderId="4" xfId="29" applyNumberFormat="1" applyFont="1" applyBorder="1" applyAlignment="1">
      <alignment horizontal="center"/>
    </xf>
    <xf numFmtId="172" fontId="22" fillId="0" borderId="28" xfId="29" applyFont="1" applyBorder="1" applyAlignment="1">
      <alignment horizontal="center"/>
    </xf>
    <xf numFmtId="2" fontId="22" fillId="0" borderId="34" xfId="29" applyNumberFormat="1" applyFont="1" applyBorder="1" applyAlignment="1">
      <alignment horizontal="center"/>
    </xf>
    <xf numFmtId="2" fontId="20" fillId="0" borderId="0" xfId="0" applyNumberFormat="1" applyFont="1"/>
    <xf numFmtId="9" fontId="20" fillId="0" borderId="0" xfId="50" applyFont="1" applyAlignment="1">
      <alignment horizontal="center"/>
    </xf>
    <xf numFmtId="0" fontId="22" fillId="0" borderId="34" xfId="0" applyFont="1" applyBorder="1" applyAlignment="1">
      <alignment horizontal="center"/>
    </xf>
    <xf numFmtId="0" fontId="22" fillId="0" borderId="0" xfId="0" applyFont="1"/>
    <xf numFmtId="167" fontId="20" fillId="0" borderId="0" xfId="0" applyNumberFormat="1" applyFont="1"/>
    <xf numFmtId="3" fontId="20" fillId="0" borderId="0" xfId="0" applyNumberFormat="1" applyFont="1"/>
    <xf numFmtId="166" fontId="43" fillId="0" borderId="0" xfId="46" applyNumberFormat="1" applyFont="1" applyAlignment="1">
      <alignment horizontal="center" vertical="center"/>
    </xf>
    <xf numFmtId="0" fontId="65" fillId="0" borderId="0" xfId="46" applyFont="1"/>
    <xf numFmtId="166" fontId="43" fillId="0" borderId="0" xfId="52" quotePrefix="1" applyNumberFormat="1" applyFont="1" applyAlignment="1">
      <alignment horizontal="center" vertical="center"/>
    </xf>
    <xf numFmtId="0" fontId="43" fillId="0" borderId="0" xfId="52" quotePrefix="1" applyFont="1" applyAlignment="1">
      <alignment horizontal="center" vertical="center"/>
    </xf>
    <xf numFmtId="0" fontId="43" fillId="0" borderId="46" xfId="53" applyFont="1" applyBorder="1" applyAlignment="1">
      <alignment horizontal="left" vertical="center" wrapText="1"/>
    </xf>
    <xf numFmtId="0" fontId="31" fillId="0" borderId="0" xfId="43" applyFont="1" applyAlignment="1">
      <alignment horizontal="center" wrapText="1"/>
    </xf>
    <xf numFmtId="0" fontId="44" fillId="0" borderId="67" xfId="43" applyFont="1" applyBorder="1" applyAlignment="1">
      <alignment horizontal="center" vertical="center" wrapText="1"/>
    </xf>
    <xf numFmtId="0" fontId="44" fillId="0" borderId="68" xfId="43" applyFont="1" applyBorder="1" applyAlignment="1">
      <alignment horizontal="center" vertical="center" wrapText="1"/>
    </xf>
    <xf numFmtId="0" fontId="43" fillId="0" borderId="67" xfId="43" applyFont="1" applyBorder="1"/>
    <xf numFmtId="0" fontId="43" fillId="0" borderId="68" xfId="43" applyFont="1" applyBorder="1"/>
    <xf numFmtId="1" fontId="43" fillId="0" borderId="68" xfId="43" applyNumberFormat="1" applyFont="1" applyBorder="1" applyAlignment="1">
      <alignment horizontal="center" vertical="center"/>
    </xf>
    <xf numFmtId="0" fontId="43" fillId="0" borderId="67" xfId="43" applyFont="1" applyBorder="1" applyAlignment="1">
      <alignment vertical="center"/>
    </xf>
    <xf numFmtId="0" fontId="43" fillId="0" borderId="68" xfId="43" applyFont="1" applyBorder="1" applyAlignment="1">
      <alignment vertical="center"/>
    </xf>
    <xf numFmtId="174" fontId="43" fillId="0" borderId="68" xfId="45" quotePrefix="1" applyNumberFormat="1" applyFont="1" applyFill="1" applyBorder="1" applyAlignment="1">
      <alignment horizontal="center" vertical="center"/>
    </xf>
    <xf numFmtId="3" fontId="43" fillId="0" borderId="68" xfId="43" applyNumberFormat="1" applyFont="1" applyBorder="1" applyAlignment="1">
      <alignment horizontal="center" vertical="center"/>
    </xf>
    <xf numFmtId="174" fontId="43" fillId="0" borderId="68" xfId="43" quotePrefix="1" applyNumberFormat="1" applyFont="1" applyBorder="1" applyAlignment="1">
      <alignment horizontal="center" vertical="center"/>
    </xf>
    <xf numFmtId="0" fontId="31" fillId="0" borderId="67" xfId="43" applyFont="1" applyBorder="1" applyAlignment="1">
      <alignment vertical="center"/>
    </xf>
    <xf numFmtId="0" fontId="31" fillId="0" borderId="67" xfId="43" applyFont="1" applyBorder="1" applyAlignment="1">
      <alignment horizontal="center" vertical="center"/>
    </xf>
    <xf numFmtId="0" fontId="31" fillId="0" borderId="68" xfId="43" applyFont="1" applyBorder="1" applyAlignment="1">
      <alignment horizontal="center" vertical="center"/>
    </xf>
    <xf numFmtId="0" fontId="31" fillId="0" borderId="68" xfId="43" applyFont="1" applyBorder="1" applyAlignment="1">
      <alignment horizontal="left" vertical="center"/>
    </xf>
    <xf numFmtId="0" fontId="31" fillId="0" borderId="68" xfId="43" applyFont="1" applyBorder="1" applyAlignment="1">
      <alignment horizontal="center"/>
    </xf>
    <xf numFmtId="0" fontId="52" fillId="0" borderId="68" xfId="43" applyFont="1" applyBorder="1" applyAlignment="1">
      <alignment horizontal="center"/>
    </xf>
    <xf numFmtId="175" fontId="27" fillId="0" borderId="68" xfId="33" applyNumberFormat="1" applyFont="1" applyBorder="1" applyAlignment="1">
      <alignment horizontal="center"/>
    </xf>
    <xf numFmtId="9" fontId="31" fillId="0" borderId="0" xfId="50" applyFont="1"/>
    <xf numFmtId="3" fontId="20" fillId="0" borderId="5" xfId="29" applyNumberFormat="1" applyFont="1" applyBorder="1" applyAlignment="1">
      <alignment horizontal="center"/>
    </xf>
    <xf numFmtId="3" fontId="22" fillId="0" borderId="14" xfId="29" applyNumberFormat="1" applyFont="1" applyBorder="1" applyAlignment="1">
      <alignment horizontal="center"/>
    </xf>
    <xf numFmtId="4" fontId="20" fillId="0" borderId="5" xfId="29" applyNumberFormat="1" applyFont="1" applyBorder="1" applyAlignment="1">
      <alignment horizontal="center"/>
    </xf>
    <xf numFmtId="0" fontId="25" fillId="0" borderId="0" xfId="25" applyFont="1"/>
    <xf numFmtId="172" fontId="20" fillId="0" borderId="0" xfId="29" applyFont="1" applyAlignment="1">
      <alignment vertical="top" wrapText="1"/>
    </xf>
    <xf numFmtId="172" fontId="67" fillId="0" borderId="0" xfId="29" applyFont="1" applyAlignment="1">
      <alignment horizontal="center" vertical="top"/>
    </xf>
    <xf numFmtId="0" fontId="24" fillId="0" borderId="0" xfId="54" applyFont="1"/>
    <xf numFmtId="167" fontId="20" fillId="0" borderId="0" xfId="29" applyNumberFormat="1" applyFont="1" applyAlignment="1">
      <alignment horizontal="center"/>
    </xf>
    <xf numFmtId="167" fontId="22" fillId="0" borderId="0" xfId="29" applyNumberFormat="1" applyFont="1" applyAlignment="1">
      <alignment horizontal="center"/>
    </xf>
    <xf numFmtId="172" fontId="22" fillId="6" borderId="14" xfId="29" applyFont="1" applyFill="1" applyBorder="1" applyAlignment="1">
      <alignment horizontal="center" wrapText="1"/>
    </xf>
    <xf numFmtId="2" fontId="22" fillId="6" borderId="29" xfId="29" applyNumberFormat="1" applyFont="1" applyFill="1" applyBorder="1" applyAlignment="1">
      <alignment horizontal="center" wrapText="1"/>
    </xf>
    <xf numFmtId="176" fontId="20" fillId="0" borderId="26" xfId="29" applyNumberFormat="1" applyFont="1" applyBorder="1" applyAlignment="1">
      <alignment horizontal="center" wrapText="1"/>
    </xf>
    <xf numFmtId="2" fontId="20" fillId="0" borderId="0" xfId="30" applyNumberFormat="1" applyFont="1" applyAlignment="1">
      <alignment horizontal="center"/>
    </xf>
    <xf numFmtId="175" fontId="20" fillId="0" borderId="30" xfId="29" applyNumberFormat="1" applyFont="1" applyBorder="1" applyAlignment="1">
      <alignment horizontal="center" wrapText="1"/>
    </xf>
    <xf numFmtId="172" fontId="20" fillId="0" borderId="66" xfId="29" applyFont="1" applyBorder="1"/>
    <xf numFmtId="175" fontId="20" fillId="0" borderId="29" xfId="29" applyNumberFormat="1" applyFont="1" applyBorder="1" applyAlignment="1">
      <alignment horizontal="center" wrapText="1"/>
    </xf>
    <xf numFmtId="176" fontId="20" fillId="0" borderId="24" xfId="29" applyNumberFormat="1" applyFont="1" applyBorder="1" applyAlignment="1">
      <alignment horizontal="center" wrapText="1"/>
    </xf>
    <xf numFmtId="172" fontId="36" fillId="0" borderId="0" xfId="29" applyFont="1"/>
    <xf numFmtId="172" fontId="20" fillId="0" borderId="1" xfId="29" applyFont="1" applyBorder="1"/>
    <xf numFmtId="172" fontId="22" fillId="0" borderId="0" xfId="29" applyFont="1" applyAlignment="1">
      <alignment horizontal="center"/>
    </xf>
    <xf numFmtId="172" fontId="22" fillId="6" borderId="6" xfId="29" applyFont="1" applyFill="1" applyBorder="1" applyAlignment="1">
      <alignment horizontal="center"/>
    </xf>
    <xf numFmtId="172" fontId="36" fillId="0" borderId="5" xfId="29" applyFont="1" applyBorder="1"/>
    <xf numFmtId="172" fontId="20" fillId="0" borderId="4" xfId="29" applyFont="1" applyBorder="1"/>
    <xf numFmtId="172" fontId="20" fillId="0" borderId="13" xfId="29" applyFont="1" applyBorder="1"/>
    <xf numFmtId="172" fontId="20" fillId="0" borderId="8" xfId="29" applyFont="1" applyBorder="1"/>
    <xf numFmtId="11" fontId="20" fillId="0" borderId="8" xfId="29" applyNumberFormat="1" applyFont="1" applyBorder="1"/>
    <xf numFmtId="0" fontId="20" fillId="0" borderId="8" xfId="29" applyNumberFormat="1" applyFont="1" applyBorder="1"/>
    <xf numFmtId="11" fontId="20" fillId="0" borderId="0" xfId="29" applyNumberFormat="1" applyFont="1"/>
    <xf numFmtId="11" fontId="20" fillId="0" borderId="1" xfId="29" applyNumberFormat="1" applyFont="1" applyBorder="1"/>
    <xf numFmtId="0" fontId="20" fillId="0" borderId="1" xfId="29" applyNumberFormat="1" applyFont="1" applyBorder="1"/>
    <xf numFmtId="0" fontId="20" fillId="11" borderId="45" xfId="0" applyFont="1" applyFill="1" applyBorder="1" applyAlignment="1">
      <alignment horizontal="left"/>
    </xf>
    <xf numFmtId="11" fontId="20" fillId="11" borderId="0" xfId="46" applyNumberFormat="1" applyFont="1" applyFill="1" applyAlignment="1">
      <alignment horizontal="center" vertical="center"/>
    </xf>
    <xf numFmtId="11" fontId="20" fillId="11" borderId="0" xfId="46" applyNumberFormat="1" applyFont="1" applyFill="1" applyAlignment="1">
      <alignment horizontal="center" vertical="center" wrapText="1"/>
    </xf>
    <xf numFmtId="0" fontId="43" fillId="11" borderId="0" xfId="46" applyFont="1" applyFill="1" applyAlignment="1">
      <alignment horizontal="center"/>
    </xf>
    <xf numFmtId="0" fontId="43" fillId="11" borderId="46" xfId="46" applyFont="1" applyFill="1" applyBorder="1" applyAlignment="1">
      <alignment horizontal="left" vertical="center"/>
    </xf>
    <xf numFmtId="0" fontId="43" fillId="11" borderId="0" xfId="46" applyFont="1" applyFill="1"/>
    <xf numFmtId="11" fontId="20" fillId="12" borderId="0" xfId="0" applyNumberFormat="1" applyFont="1" applyFill="1" applyAlignment="1">
      <alignment horizontal="center" vertical="center" wrapText="1"/>
    </xf>
    <xf numFmtId="0" fontId="41" fillId="11" borderId="0" xfId="46" applyFont="1" applyFill="1"/>
    <xf numFmtId="4" fontId="20" fillId="11" borderId="0" xfId="46" applyNumberFormat="1" applyFont="1" applyFill="1" applyAlignment="1">
      <alignment horizontal="center" vertical="center" wrapText="1"/>
    </xf>
    <xf numFmtId="0" fontId="31" fillId="0" borderId="0" xfId="56" applyFont="1"/>
    <xf numFmtId="0" fontId="31" fillId="0" borderId="0" xfId="56" applyFont="1" applyAlignment="1">
      <alignment horizontal="left" vertical="center"/>
    </xf>
    <xf numFmtId="0" fontId="41" fillId="0" borderId="0" xfId="56" applyFont="1"/>
    <xf numFmtId="0" fontId="26" fillId="0" borderId="0" xfId="59" applyFont="1"/>
    <xf numFmtId="0" fontId="22" fillId="0" borderId="0" xfId="59" applyFont="1" applyAlignment="1">
      <alignment horizontal="left"/>
    </xf>
    <xf numFmtId="0" fontId="31" fillId="0" borderId="0" xfId="59" applyFont="1"/>
    <xf numFmtId="0" fontId="31" fillId="0" borderId="0" xfId="59" applyFont="1" applyAlignment="1">
      <alignment horizontal="left" vertical="center"/>
    </xf>
    <xf numFmtId="0" fontId="41" fillId="0" borderId="0" xfId="59" applyFont="1"/>
    <xf numFmtId="14" fontId="22" fillId="0" borderId="0" xfId="59" applyNumberFormat="1" applyFont="1" applyAlignment="1">
      <alignment horizontal="left"/>
    </xf>
    <xf numFmtId="0" fontId="21" fillId="0" borderId="0" xfId="54" applyFont="1"/>
    <xf numFmtId="0" fontId="21" fillId="0" borderId="0" xfId="54" applyFont="1" applyAlignment="1">
      <alignment horizontal="left" vertical="center"/>
    </xf>
    <xf numFmtId="0" fontId="41" fillId="0" borderId="0" xfId="54" applyFont="1"/>
    <xf numFmtId="0" fontId="42" fillId="0" borderId="0" xfId="56" applyFont="1" applyAlignment="1">
      <alignment horizontal="left"/>
    </xf>
    <xf numFmtId="0" fontId="43" fillId="0" borderId="0" xfId="56" applyFont="1" applyAlignment="1">
      <alignment horizontal="center" wrapText="1"/>
    </xf>
    <xf numFmtId="0" fontId="43" fillId="0" borderId="0" xfId="56" applyFont="1"/>
    <xf numFmtId="0" fontId="43" fillId="0" borderId="0" xfId="56" applyFont="1" applyAlignment="1">
      <alignment horizontal="left" vertical="center"/>
    </xf>
    <xf numFmtId="0" fontId="44" fillId="0" borderId="0" xfId="56" applyFont="1" applyAlignment="1">
      <alignment vertical="center"/>
    </xf>
    <xf numFmtId="0" fontId="44" fillId="0" borderId="0" xfId="56" applyFont="1" applyAlignment="1">
      <alignment horizontal="left" vertical="center"/>
    </xf>
    <xf numFmtId="0" fontId="44" fillId="0" borderId="0" xfId="56" quotePrefix="1" applyFont="1" applyAlignment="1">
      <alignment horizontal="left" vertical="center"/>
    </xf>
    <xf numFmtId="3" fontId="43" fillId="0" borderId="0" xfId="56" applyNumberFormat="1" applyFont="1" applyAlignment="1">
      <alignment horizontal="left" vertical="center" wrapText="1"/>
    </xf>
    <xf numFmtId="0" fontId="45" fillId="0" borderId="0" xfId="56" applyFont="1"/>
    <xf numFmtId="1" fontId="43" fillId="0" borderId="0" xfId="56" applyNumberFormat="1" applyFont="1" applyAlignment="1">
      <alignment horizontal="left" vertical="center"/>
    </xf>
    <xf numFmtId="167" fontId="43" fillId="0" borderId="0" xfId="56" applyNumberFormat="1" applyFont="1" applyAlignment="1">
      <alignment horizontal="left" vertical="center"/>
    </xf>
    <xf numFmtId="3" fontId="43" fillId="0" borderId="0" xfId="56" applyNumberFormat="1" applyFont="1" applyAlignment="1">
      <alignment horizontal="left" vertical="center"/>
    </xf>
    <xf numFmtId="166" fontId="45" fillId="0" borderId="0" xfId="56" applyNumberFormat="1" applyFont="1"/>
    <xf numFmtId="2" fontId="41" fillId="0" borderId="0" xfId="56" applyNumberFormat="1" applyFont="1"/>
    <xf numFmtId="0" fontId="24" fillId="8" borderId="0" xfId="54" applyFont="1" applyFill="1"/>
    <xf numFmtId="0" fontId="21" fillId="8" borderId="0" xfId="54" applyFont="1" applyFill="1"/>
    <xf numFmtId="0" fontId="21" fillId="8" borderId="0" xfId="54" applyFont="1" applyFill="1" applyAlignment="1">
      <alignment horizontal="left" vertical="center"/>
    </xf>
    <xf numFmtId="0" fontId="43" fillId="0" borderId="0" xfId="56" applyFont="1" applyAlignment="1">
      <alignment horizontal="center"/>
    </xf>
    <xf numFmtId="0" fontId="43" fillId="0" borderId="41" xfId="56" applyFont="1" applyBorder="1"/>
    <xf numFmtId="0" fontId="43" fillId="0" borderId="51" xfId="56" applyFont="1" applyBorder="1"/>
    <xf numFmtId="0" fontId="43" fillId="0" borderId="51" xfId="56" applyFont="1" applyBorder="1" applyAlignment="1">
      <alignment horizontal="center" wrapText="1"/>
    </xf>
    <xf numFmtId="0" fontId="43" fillId="0" borderId="51" xfId="56" applyFont="1" applyBorder="1" applyAlignment="1">
      <alignment horizontal="center"/>
    </xf>
    <xf numFmtId="0" fontId="43" fillId="0" borderId="44" xfId="56" applyFont="1" applyBorder="1" applyAlignment="1">
      <alignment horizontal="left" vertical="center"/>
    </xf>
    <xf numFmtId="0" fontId="44" fillId="0" borderId="45" xfId="56" applyFont="1" applyBorder="1" applyAlignment="1">
      <alignment horizontal="left" vertical="center" wrapText="1"/>
    </xf>
    <xf numFmtId="0" fontId="44" fillId="0" borderId="0" xfId="56" applyFont="1" applyAlignment="1">
      <alignment horizontal="center" vertical="center" wrapText="1"/>
    </xf>
    <xf numFmtId="0" fontId="44" fillId="0" borderId="46" xfId="56" applyFont="1" applyBorder="1" applyAlignment="1">
      <alignment horizontal="center" vertical="center" wrapText="1"/>
    </xf>
    <xf numFmtId="0" fontId="44" fillId="0" borderId="0" xfId="56" applyFont="1" applyAlignment="1">
      <alignment horizontal="center" vertical="center"/>
    </xf>
    <xf numFmtId="0" fontId="46" fillId="0" borderId="0" xfId="56" applyFont="1" applyAlignment="1">
      <alignment horizontal="center" vertical="center"/>
    </xf>
    <xf numFmtId="0" fontId="43" fillId="0" borderId="47" xfId="56" applyFont="1" applyBorder="1"/>
    <xf numFmtId="0" fontId="43" fillId="0" borderId="16" xfId="56" applyFont="1" applyBorder="1"/>
    <xf numFmtId="0" fontId="43" fillId="0" borderId="16" xfId="56" applyFont="1" applyBorder="1" applyAlignment="1">
      <alignment horizontal="center" wrapText="1"/>
    </xf>
    <xf numFmtId="0" fontId="43" fillId="0" borderId="16" xfId="56" applyFont="1" applyBorder="1" applyAlignment="1">
      <alignment horizontal="center"/>
    </xf>
    <xf numFmtId="0" fontId="43" fillId="0" borderId="50" xfId="56" applyFont="1" applyBorder="1" applyAlignment="1">
      <alignment horizontal="left" vertical="center"/>
    </xf>
    <xf numFmtId="0" fontId="47" fillId="0" borderId="45" xfId="56" applyFont="1" applyBorder="1"/>
    <xf numFmtId="0" fontId="47" fillId="0" borderId="0" xfId="56" applyFont="1"/>
    <xf numFmtId="0" fontId="48" fillId="0" borderId="0" xfId="56" applyFont="1" applyAlignment="1">
      <alignment horizontal="center" wrapText="1"/>
    </xf>
    <xf numFmtId="0" fontId="43" fillId="0" borderId="46" xfId="56" applyFont="1" applyBorder="1" applyAlignment="1">
      <alignment horizontal="left" vertical="center"/>
    </xf>
    <xf numFmtId="0" fontId="49" fillId="0" borderId="0" xfId="56" applyFont="1"/>
    <xf numFmtId="0" fontId="20" fillId="0" borderId="45" xfId="56" applyFont="1" applyBorder="1" applyAlignment="1">
      <alignment horizontal="left" vertical="center"/>
    </xf>
    <xf numFmtId="2" fontId="20" fillId="0" borderId="0" xfId="56" applyNumberFormat="1" applyFont="1" applyAlignment="1">
      <alignment horizontal="center" vertical="center"/>
    </xf>
    <xf numFmtId="4" fontId="20" fillId="0" borderId="0" xfId="56" applyNumberFormat="1" applyFont="1" applyAlignment="1">
      <alignment horizontal="center" vertical="center" wrapText="1"/>
    </xf>
    <xf numFmtId="166" fontId="43" fillId="0" borderId="0" xfId="54" quotePrefix="1" applyNumberFormat="1" applyFont="1" applyAlignment="1">
      <alignment horizontal="center" vertical="center"/>
    </xf>
    <xf numFmtId="0" fontId="43" fillId="0" borderId="0" xfId="54" quotePrefix="1" applyFont="1" applyAlignment="1">
      <alignment horizontal="center" vertical="center"/>
    </xf>
    <xf numFmtId="0" fontId="20" fillId="0" borderId="46" xfId="54" applyFont="1" applyBorder="1" applyAlignment="1">
      <alignment horizontal="left" vertical="center"/>
    </xf>
    <xf numFmtId="0" fontId="41" fillId="0" borderId="0" xfId="56" applyFont="1" applyAlignment="1">
      <alignment vertical="center"/>
    </xf>
    <xf numFmtId="167" fontId="43" fillId="0" borderId="0" xfId="54" applyNumberFormat="1" applyFont="1" applyAlignment="1">
      <alignment horizontal="center" vertical="center"/>
    </xf>
    <xf numFmtId="0" fontId="43" fillId="0" borderId="0" xfId="54" applyFont="1" applyAlignment="1">
      <alignment horizontal="center" vertical="center"/>
    </xf>
    <xf numFmtId="0" fontId="43" fillId="0" borderId="46" xfId="56" applyFont="1" applyBorder="1" applyAlignment="1">
      <alignment horizontal="left" vertical="center" wrapText="1"/>
    </xf>
    <xf numFmtId="0" fontId="43" fillId="0" borderId="0" xfId="56" applyFont="1" applyAlignment="1">
      <alignment vertical="center"/>
    </xf>
    <xf numFmtId="0" fontId="20" fillId="0" borderId="46" xfId="54" applyFont="1" applyBorder="1" applyAlignment="1">
      <alignment horizontal="left" vertical="center" wrapText="1"/>
    </xf>
    <xf numFmtId="166" fontId="43" fillId="0" borderId="0" xfId="54" applyNumberFormat="1" applyFont="1" applyAlignment="1">
      <alignment horizontal="center" vertical="center"/>
    </xf>
    <xf numFmtId="0" fontId="21" fillId="0" borderId="0" xfId="56" applyFont="1" applyAlignment="1">
      <alignment vertical="center"/>
    </xf>
    <xf numFmtId="1" fontId="43" fillId="0" borderId="0" xfId="54" applyNumberFormat="1" applyFont="1" applyAlignment="1">
      <alignment horizontal="center" vertical="center"/>
    </xf>
    <xf numFmtId="4" fontId="43" fillId="0" borderId="0" xfId="56" applyNumberFormat="1" applyFont="1" applyAlignment="1">
      <alignment horizontal="center" wrapText="1"/>
    </xf>
    <xf numFmtId="4" fontId="20" fillId="0" borderId="0" xfId="56" applyNumberFormat="1" applyFont="1" applyAlignment="1">
      <alignment vertical="center" wrapText="1"/>
    </xf>
    <xf numFmtId="0" fontId="20" fillId="0" borderId="0" xfId="56" applyFont="1" applyAlignment="1">
      <alignment vertical="center" wrapText="1"/>
    </xf>
    <xf numFmtId="0" fontId="20" fillId="0" borderId="0" xfId="56" applyFont="1" applyAlignment="1">
      <alignment horizontal="center" vertical="center" wrapText="1"/>
    </xf>
    <xf numFmtId="2" fontId="43" fillId="0" borderId="0" xfId="54" applyNumberFormat="1" applyFont="1" applyAlignment="1">
      <alignment horizontal="center" vertical="center"/>
    </xf>
    <xf numFmtId="11" fontId="43" fillId="0" borderId="0" xfId="56" applyNumberFormat="1" applyFont="1" applyAlignment="1">
      <alignment horizontal="center" wrapText="1"/>
    </xf>
    <xf numFmtId="11" fontId="20" fillId="0" borderId="0" xfId="56" applyNumberFormat="1" applyFont="1" applyAlignment="1">
      <alignment horizontal="center" vertical="center" wrapText="1"/>
    </xf>
    <xf numFmtId="0" fontId="43" fillId="0" borderId="16" xfId="56" quotePrefix="1" applyFont="1" applyBorder="1" applyAlignment="1">
      <alignment horizontal="center" vertical="center"/>
    </xf>
    <xf numFmtId="0" fontId="43" fillId="0" borderId="0" xfId="56" quotePrefix="1" applyFont="1" applyAlignment="1">
      <alignment horizontal="center" vertical="center"/>
    </xf>
    <xf numFmtId="3" fontId="20" fillId="0" borderId="0" xfId="56" applyNumberFormat="1" applyFont="1" applyAlignment="1">
      <alignment horizontal="center" vertical="center" wrapText="1"/>
    </xf>
    <xf numFmtId="0" fontId="43" fillId="0" borderId="16" xfId="56" applyFont="1" applyBorder="1" applyAlignment="1">
      <alignment vertical="center"/>
    </xf>
    <xf numFmtId="0" fontId="43" fillId="0" borderId="16" xfId="56" applyFont="1" applyBorder="1" applyAlignment="1">
      <alignment horizontal="center" vertical="center" wrapText="1"/>
    </xf>
    <xf numFmtId="0" fontId="43" fillId="0" borderId="16" xfId="56" applyFont="1" applyBorder="1" applyAlignment="1">
      <alignment horizontal="center" vertical="center"/>
    </xf>
    <xf numFmtId="11" fontId="20" fillId="0" borderId="0" xfId="56" applyNumberFormat="1" applyFont="1" applyAlignment="1">
      <alignment horizontal="center" vertical="center"/>
    </xf>
    <xf numFmtId="0" fontId="21" fillId="0" borderId="0" xfId="56" applyFont="1"/>
    <xf numFmtId="2" fontId="20" fillId="0" borderId="0" xfId="56" applyNumberFormat="1" applyFont="1" applyAlignment="1">
      <alignment horizontal="center" vertical="center" wrapText="1"/>
    </xf>
    <xf numFmtId="167" fontId="41" fillId="0" borderId="0" xfId="29" applyNumberFormat="1" applyFont="1" applyAlignment="1">
      <alignment horizontal="center"/>
    </xf>
    <xf numFmtId="2" fontId="20" fillId="0" borderId="5" xfId="29" applyNumberFormat="1" applyFont="1" applyBorder="1" applyAlignment="1">
      <alignment horizontal="center"/>
    </xf>
    <xf numFmtId="0" fontId="69" fillId="0" borderId="0" xfId="33" applyFont="1"/>
    <xf numFmtId="0" fontId="70" fillId="0" borderId="0" xfId="33" applyFont="1"/>
    <xf numFmtId="0" fontId="70" fillId="0" borderId="0" xfId="33" applyFont="1" applyAlignment="1">
      <alignment horizontal="center"/>
    </xf>
    <xf numFmtId="0" fontId="71" fillId="0" borderId="0" xfId="33" applyFont="1" applyAlignment="1">
      <alignment vertical="top" wrapText="1"/>
    </xf>
    <xf numFmtId="172" fontId="70" fillId="0" borderId="0" xfId="29" applyFont="1"/>
    <xf numFmtId="167" fontId="70" fillId="0" borderId="0" xfId="29" applyNumberFormat="1" applyFont="1" applyAlignment="1">
      <alignment horizontal="center"/>
    </xf>
    <xf numFmtId="172" fontId="70" fillId="0" borderId="0" xfId="29" applyFont="1" applyAlignment="1">
      <alignment horizontal="center" wrapText="1"/>
    </xf>
    <xf numFmtId="172" fontId="70" fillId="0" borderId="0" xfId="33" applyNumberFormat="1" applyFont="1"/>
    <xf numFmtId="166" fontId="31" fillId="0" borderId="48" xfId="43" applyNumberFormat="1" applyFont="1" applyBorder="1" applyAlignment="1">
      <alignment horizontal="center"/>
    </xf>
    <xf numFmtId="166" fontId="31" fillId="0" borderId="36" xfId="43" applyNumberFormat="1" applyFont="1" applyBorder="1" applyAlignment="1">
      <alignment horizontal="center"/>
    </xf>
    <xf numFmtId="0" fontId="27" fillId="0" borderId="3" xfId="34" applyFont="1" applyBorder="1" applyAlignment="1">
      <alignment horizontal="center"/>
    </xf>
    <xf numFmtId="0" fontId="27" fillId="10" borderId="53" xfId="34" applyFont="1" applyFill="1" applyBorder="1" applyAlignment="1">
      <alignment horizontal="center"/>
    </xf>
    <xf numFmtId="173" fontId="27" fillId="10" borderId="8" xfId="14" quotePrefix="1" applyNumberFormat="1" applyFont="1" applyFill="1" applyBorder="1" applyAlignment="1">
      <alignment horizontal="center"/>
    </xf>
    <xf numFmtId="173" fontId="43" fillId="10" borderId="8" xfId="14" applyNumberFormat="1" applyFont="1" applyFill="1" applyBorder="1" applyAlignment="1">
      <alignment horizontal="center"/>
    </xf>
    <xf numFmtId="173" fontId="43" fillId="10" borderId="58" xfId="14" applyNumberFormat="1" applyFont="1" applyFill="1" applyBorder="1" applyAlignment="1">
      <alignment horizontal="center"/>
    </xf>
    <xf numFmtId="0" fontId="27" fillId="0" borderId="66" xfId="34" applyFont="1" applyBorder="1" applyAlignment="1">
      <alignment horizontal="center"/>
    </xf>
    <xf numFmtId="11" fontId="20" fillId="0" borderId="0" xfId="0" applyNumberFormat="1" applyFont="1" applyAlignment="1">
      <alignment horizontal="center" vertical="center" wrapText="1"/>
    </xf>
    <xf numFmtId="2" fontId="20" fillId="0" borderId="11" xfId="29" applyNumberFormat="1" applyFont="1" applyBorder="1" applyAlignment="1">
      <alignment horizontal="center"/>
    </xf>
    <xf numFmtId="2" fontId="20" fillId="0" borderId="35" xfId="29" applyNumberFormat="1" applyFont="1" applyBorder="1" applyAlignment="1">
      <alignment horizontal="center"/>
    </xf>
    <xf numFmtId="2" fontId="20" fillId="0" borderId="32" xfId="29" applyNumberFormat="1" applyFont="1" applyBorder="1" applyAlignment="1">
      <alignment horizontal="center" wrapText="1"/>
    </xf>
    <xf numFmtId="2" fontId="20" fillId="0" borderId="30" xfId="29" applyNumberFormat="1" applyFont="1" applyBorder="1" applyAlignment="1">
      <alignment horizontal="center" wrapText="1"/>
    </xf>
    <xf numFmtId="0" fontId="8" fillId="0" borderId="6" xfId="14" applyFont="1" applyBorder="1" applyAlignment="1">
      <alignment horizontal="center" vertical="center" wrapText="1"/>
    </xf>
    <xf numFmtId="0" fontId="8" fillId="0" borderId="17" xfId="14" applyFont="1" applyBorder="1" applyAlignment="1">
      <alignment horizontal="center" vertical="center" wrapText="1"/>
    </xf>
    <xf numFmtId="0" fontId="72" fillId="0" borderId="0" xfId="43" applyFont="1" applyAlignment="1">
      <alignment horizontal="left" vertical="center"/>
    </xf>
    <xf numFmtId="2" fontId="31" fillId="0" borderId="69" xfId="43" applyNumberFormat="1" applyFont="1" applyBorder="1"/>
    <xf numFmtId="0" fontId="41" fillId="0" borderId="0" xfId="46" applyFont="1" applyAlignment="1">
      <alignment horizontal="center"/>
    </xf>
    <xf numFmtId="0" fontId="66" fillId="0" borderId="0" xfId="46" applyFont="1" applyAlignment="1">
      <alignment horizontal="center"/>
    </xf>
    <xf numFmtId="0" fontId="20" fillId="0" borderId="0" xfId="46" applyFont="1" applyAlignment="1">
      <alignment horizontal="center" vertical="center"/>
    </xf>
    <xf numFmtId="0" fontId="20" fillId="0" borderId="0" xfId="46" applyFont="1" applyAlignment="1">
      <alignment horizontal="center"/>
    </xf>
    <xf numFmtId="172" fontId="22" fillId="0" borderId="3" xfId="29" applyFont="1" applyBorder="1" applyAlignment="1">
      <alignment wrapText="1"/>
    </xf>
    <xf numFmtId="175" fontId="22" fillId="0" borderId="34" xfId="29" applyNumberFormat="1" applyFont="1" applyBorder="1" applyAlignment="1">
      <alignment horizontal="center"/>
    </xf>
    <xf numFmtId="175" fontId="22" fillId="0" borderId="1" xfId="29" applyNumberFormat="1" applyFont="1" applyBorder="1" applyAlignment="1">
      <alignment horizontal="center"/>
    </xf>
    <xf numFmtId="175" fontId="22" fillId="0" borderId="5" xfId="29" applyNumberFormat="1" applyFont="1" applyBorder="1" applyAlignment="1">
      <alignment horizontal="center"/>
    </xf>
    <xf numFmtId="4" fontId="22" fillId="0" borderId="5" xfId="29" applyNumberFormat="1" applyFont="1" applyBorder="1" applyAlignment="1">
      <alignment horizontal="center"/>
    </xf>
    <xf numFmtId="175" fontId="22" fillId="0" borderId="33" xfId="29" applyNumberFormat="1" applyFont="1" applyBorder="1" applyAlignment="1">
      <alignment horizontal="center"/>
    </xf>
    <xf numFmtId="166" fontId="43" fillId="0" borderId="0" xfId="43" applyNumberFormat="1" applyFont="1" applyAlignment="1">
      <alignment horizontal="center" vertical="center"/>
    </xf>
    <xf numFmtId="167" fontId="43" fillId="0" borderId="0" xfId="43" applyNumberFormat="1" applyFont="1" applyAlignment="1">
      <alignment horizontal="center" vertical="center"/>
    </xf>
    <xf numFmtId="174" fontId="20" fillId="0" borderId="0" xfId="46" applyNumberFormat="1" applyFont="1" applyAlignment="1">
      <alignment horizontal="center" vertical="center" wrapText="1"/>
    </xf>
    <xf numFmtId="0" fontId="8" fillId="0" borderId="6" xfId="14" applyFont="1" applyBorder="1" applyAlignment="1">
      <alignment vertical="center" wrapText="1"/>
    </xf>
    <xf numFmtId="165" fontId="8" fillId="0" borderId="6" xfId="14" applyNumberFormat="1" applyFont="1" applyBorder="1" applyAlignment="1">
      <alignment vertical="center" wrapText="1"/>
    </xf>
    <xf numFmtId="164" fontId="8" fillId="0" borderId="6" xfId="14" applyNumberFormat="1" applyFont="1" applyBorder="1" applyAlignment="1">
      <alignment vertical="center" wrapText="1"/>
    </xf>
    <xf numFmtId="168" fontId="18" fillId="0" borderId="8" xfId="14" quotePrefix="1" applyNumberFormat="1" applyFont="1" applyBorder="1" applyAlignment="1">
      <alignment horizontal="center"/>
    </xf>
    <xf numFmtId="165" fontId="18" fillId="0" borderId="8" xfId="14" quotePrefix="1" applyNumberFormat="1" applyFont="1" applyBorder="1" applyAlignment="1">
      <alignment horizontal="center"/>
    </xf>
    <xf numFmtId="164" fontId="18" fillId="0" borderId="8" xfId="14" quotePrefix="1" applyNumberFormat="1" applyFont="1" applyBorder="1" applyAlignment="1">
      <alignment horizontal="center"/>
    </xf>
    <xf numFmtId="165" fontId="18" fillId="0" borderId="1" xfId="14" applyNumberFormat="1" applyFont="1" applyBorder="1" applyAlignment="1">
      <alignment horizontal="center"/>
    </xf>
    <xf numFmtId="171" fontId="18" fillId="0" borderId="8" xfId="14" quotePrefix="1" applyNumberFormat="1" applyFont="1" applyBorder="1" applyAlignment="1">
      <alignment horizontal="center"/>
    </xf>
    <xf numFmtId="0" fontId="28" fillId="6" borderId="23" xfId="0" applyFont="1" applyFill="1" applyBorder="1" applyAlignment="1">
      <alignment horizontal="center" vertical="center"/>
    </xf>
    <xf numFmtId="0" fontId="62" fillId="6" borderId="34" xfId="14" applyFont="1" applyFill="1" applyBorder="1" applyAlignment="1">
      <alignment vertical="center" wrapText="1"/>
    </xf>
    <xf numFmtId="0" fontId="62" fillId="6" borderId="1" xfId="14" applyFont="1" applyFill="1" applyBorder="1" applyAlignment="1">
      <alignment vertical="center" wrapText="1"/>
    </xf>
    <xf numFmtId="0" fontId="62" fillId="6" borderId="33" xfId="14" applyFont="1" applyFill="1" applyBorder="1" applyAlignment="1">
      <alignment vertical="center" wrapText="1"/>
    </xf>
    <xf numFmtId="0" fontId="62" fillId="6" borderId="25" xfId="14" applyFont="1" applyFill="1" applyBorder="1" applyAlignment="1">
      <alignment vertical="center" wrapText="1"/>
    </xf>
    <xf numFmtId="0" fontId="62" fillId="6" borderId="2" xfId="14" applyFont="1" applyFill="1" applyBorder="1" applyAlignment="1">
      <alignment vertical="center" wrapText="1"/>
    </xf>
    <xf numFmtId="0" fontId="62" fillId="6" borderId="24" xfId="14" applyFont="1" applyFill="1" applyBorder="1" applyAlignment="1">
      <alignment vertical="center" wrapText="1"/>
    </xf>
    <xf numFmtId="2" fontId="22" fillId="0" borderId="5" xfId="29" applyNumberFormat="1" applyFont="1" applyBorder="1" applyAlignment="1">
      <alignment horizontal="center"/>
    </xf>
    <xf numFmtId="170" fontId="0" fillId="0" borderId="0" xfId="0" applyNumberFormat="1"/>
    <xf numFmtId="170" fontId="10" fillId="0" borderId="0" xfId="14" applyNumberFormat="1" applyFont="1"/>
    <xf numFmtId="3" fontId="0" fillId="0" borderId="0" xfId="0" applyNumberFormat="1"/>
    <xf numFmtId="3" fontId="41" fillId="0" borderId="0" xfId="46" applyNumberFormat="1" applyFont="1"/>
    <xf numFmtId="9" fontId="41" fillId="0" borderId="0" xfId="50" applyFont="1" applyAlignment="1">
      <alignment horizontal="center"/>
    </xf>
    <xf numFmtId="166" fontId="41" fillId="0" borderId="0" xfId="46" applyNumberFormat="1" applyFont="1" applyAlignment="1">
      <alignment horizontal="center"/>
    </xf>
    <xf numFmtId="0" fontId="31" fillId="0" borderId="0" xfId="46" applyFont="1" applyAlignment="1">
      <alignment vertical="center"/>
    </xf>
    <xf numFmtId="166" fontId="31" fillId="0" borderId="0" xfId="46" applyNumberFormat="1" applyFont="1" applyAlignment="1">
      <alignment vertical="center"/>
    </xf>
    <xf numFmtId="0" fontId="52" fillId="0" borderId="69" xfId="43" applyFont="1" applyBorder="1" applyAlignment="1">
      <alignment horizontal="center" vertical="center"/>
    </xf>
    <xf numFmtId="0" fontId="31" fillId="0" borderId="69" xfId="43" applyFont="1" applyBorder="1" applyAlignment="1">
      <alignment horizontal="center"/>
    </xf>
    <xf numFmtId="0" fontId="52" fillId="0" borderId="69" xfId="43" applyFont="1" applyBorder="1" applyAlignment="1">
      <alignment horizontal="center"/>
    </xf>
    <xf numFmtId="0" fontId="31" fillId="0" borderId="69" xfId="43" applyFont="1" applyBorder="1"/>
    <xf numFmtId="175" fontId="27" fillId="0" borderId="69" xfId="33" applyNumberFormat="1" applyFont="1" applyBorder="1" applyAlignment="1">
      <alignment horizontal="center"/>
    </xf>
    <xf numFmtId="4" fontId="27" fillId="0" borderId="69" xfId="33" applyNumberFormat="1" applyFont="1" applyBorder="1" applyAlignment="1">
      <alignment horizontal="center"/>
    </xf>
    <xf numFmtId="0" fontId="62" fillId="6" borderId="28" xfId="14" applyFont="1" applyFill="1" applyBorder="1" applyAlignment="1">
      <alignment horizontal="center" vertical="center" wrapText="1"/>
    </xf>
    <xf numFmtId="0" fontId="62" fillId="6" borderId="11" xfId="14" applyFont="1" applyFill="1" applyBorder="1" applyAlignment="1">
      <alignment horizontal="center" vertical="center" wrapText="1"/>
    </xf>
    <xf numFmtId="0" fontId="62" fillId="6" borderId="26" xfId="14" applyFont="1" applyFill="1" applyBorder="1" applyAlignment="1">
      <alignment horizontal="center" vertical="center" wrapText="1"/>
    </xf>
    <xf numFmtId="0" fontId="52" fillId="0" borderId="45" xfId="43" applyFont="1" applyBorder="1" applyAlignment="1">
      <alignment horizontal="center" vertical="center"/>
    </xf>
    <xf numFmtId="0" fontId="31" fillId="0" borderId="0" xfId="43" applyFont="1" applyAlignment="1">
      <alignment horizontal="right" vertical="center"/>
    </xf>
    <xf numFmtId="0" fontId="44" fillId="0" borderId="68" xfId="43" applyFont="1" applyBorder="1" applyAlignment="1">
      <alignment horizontal="center" vertical="center" wrapText="1"/>
    </xf>
    <xf numFmtId="0" fontId="44" fillId="0" borderId="40" xfId="43" applyFont="1" applyBorder="1" applyAlignment="1">
      <alignment horizontal="center" vertical="center" wrapText="1"/>
    </xf>
    <xf numFmtId="1" fontId="44" fillId="0" borderId="68" xfId="43" applyNumberFormat="1" applyFont="1" applyBorder="1" applyAlignment="1">
      <alignment horizontal="center" vertical="center" wrapText="1"/>
    </xf>
    <xf numFmtId="1" fontId="44" fillId="0" borderId="46" xfId="43" applyNumberFormat="1" applyFont="1" applyBorder="1" applyAlignment="1">
      <alignment horizontal="center" vertical="center" wrapText="1"/>
    </xf>
    <xf numFmtId="1" fontId="44" fillId="0" borderId="45" xfId="43" applyNumberFormat="1" applyFont="1" applyBorder="1" applyAlignment="1">
      <alignment horizontal="center" vertical="center" wrapText="1"/>
    </xf>
    <xf numFmtId="1" fontId="44" fillId="0" borderId="0" xfId="43" applyNumberFormat="1" applyFont="1" applyAlignment="1">
      <alignment horizontal="center" vertical="center" wrapText="1"/>
    </xf>
    <xf numFmtId="2" fontId="22" fillId="0" borderId="41" xfId="51" applyNumberFormat="1" applyFont="1" applyBorder="1" applyAlignment="1">
      <alignment horizontal="center" vertical="center" wrapText="1"/>
    </xf>
    <xf numFmtId="2" fontId="22" fillId="0" borderId="51" xfId="51" applyNumberFormat="1" applyFont="1" applyBorder="1" applyAlignment="1">
      <alignment horizontal="center" vertical="center" wrapText="1"/>
    </xf>
    <xf numFmtId="2" fontId="22" fillId="0" borderId="44" xfId="51" applyNumberFormat="1" applyFont="1" applyBorder="1" applyAlignment="1">
      <alignment horizontal="center" vertical="center" wrapText="1"/>
    </xf>
    <xf numFmtId="0" fontId="73" fillId="0" borderId="51" xfId="0" applyFont="1" applyBorder="1" applyAlignment="1">
      <alignment horizontal="left" wrapText="1"/>
    </xf>
    <xf numFmtId="14" fontId="27" fillId="6" borderId="31" xfId="33" applyNumberFormat="1" applyFont="1" applyFill="1" applyBorder="1" applyAlignment="1">
      <alignment horizontal="center" vertical="center"/>
    </xf>
    <xf numFmtId="14" fontId="27" fillId="6" borderId="52" xfId="33" applyNumberFormat="1" applyFont="1" applyFill="1" applyBorder="1" applyAlignment="1">
      <alignment horizontal="center" vertical="center"/>
    </xf>
    <xf numFmtId="14" fontId="27" fillId="6" borderId="43" xfId="33" applyNumberFormat="1" applyFont="1" applyFill="1" applyBorder="1" applyAlignment="1">
      <alignment horizontal="center" vertical="center"/>
    </xf>
    <xf numFmtId="14" fontId="27" fillId="6" borderId="42" xfId="33" applyNumberFormat="1" applyFont="1" applyFill="1" applyBorder="1" applyAlignment="1">
      <alignment horizontal="center" vertical="center"/>
    </xf>
    <xf numFmtId="172" fontId="28" fillId="6" borderId="28" xfId="33" applyNumberFormat="1" applyFont="1" applyFill="1" applyBorder="1" applyAlignment="1">
      <alignment horizontal="center" vertical="center"/>
    </xf>
    <xf numFmtId="172" fontId="28" fillId="6" borderId="26" xfId="33" applyNumberFormat="1" applyFont="1" applyFill="1" applyBorder="1" applyAlignment="1">
      <alignment horizontal="center" vertical="center"/>
    </xf>
    <xf numFmtId="172" fontId="28" fillId="6" borderId="27" xfId="33" applyNumberFormat="1" applyFont="1" applyFill="1" applyBorder="1" applyAlignment="1">
      <alignment horizontal="center" vertical="center"/>
    </xf>
    <xf numFmtId="172" fontId="28" fillId="6" borderId="35" xfId="33" applyNumberFormat="1" applyFont="1" applyFill="1" applyBorder="1" applyAlignment="1">
      <alignment horizontal="center" vertical="center"/>
    </xf>
    <xf numFmtId="4" fontId="28" fillId="6" borderId="28" xfId="33" applyNumberFormat="1" applyFont="1" applyFill="1" applyBorder="1" applyAlignment="1">
      <alignment horizontal="center" vertical="center"/>
    </xf>
    <xf numFmtId="4" fontId="28" fillId="6" borderId="26" xfId="33" applyNumberFormat="1" applyFont="1" applyFill="1" applyBorder="1" applyAlignment="1">
      <alignment horizontal="center" vertical="center"/>
    </xf>
    <xf numFmtId="0" fontId="46" fillId="0" borderId="0" xfId="46" applyFont="1" applyAlignment="1">
      <alignment horizontal="center" vertical="center"/>
    </xf>
    <xf numFmtId="172" fontId="22" fillId="6" borderId="1" xfId="29" applyFont="1" applyFill="1" applyBorder="1" applyAlignment="1">
      <alignment horizontal="center"/>
    </xf>
    <xf numFmtId="172" fontId="22" fillId="6" borderId="6" xfId="29" applyFont="1" applyFill="1" applyBorder="1" applyAlignment="1">
      <alignment horizontal="center"/>
    </xf>
    <xf numFmtId="2" fontId="22" fillId="6" borderId="56" xfId="29" applyNumberFormat="1" applyFont="1" applyFill="1" applyBorder="1" applyAlignment="1">
      <alignment horizontal="center" wrapText="1"/>
    </xf>
    <xf numFmtId="2" fontId="22" fillId="6" borderId="59" xfId="29" applyNumberFormat="1" applyFont="1" applyFill="1" applyBorder="1" applyAlignment="1">
      <alignment horizontal="center" wrapText="1"/>
    </xf>
    <xf numFmtId="2" fontId="22" fillId="6" borderId="18" xfId="51" applyNumberFormat="1" applyFont="1" applyFill="1" applyBorder="1" applyAlignment="1">
      <alignment horizontal="center" vertical="center" wrapText="1"/>
    </xf>
    <xf numFmtId="2" fontId="22" fillId="6" borderId="19" xfId="51" applyNumberFormat="1" applyFont="1" applyFill="1" applyBorder="1" applyAlignment="1">
      <alignment horizontal="center" vertical="center" wrapText="1"/>
    </xf>
    <xf numFmtId="2" fontId="22" fillId="6" borderId="20" xfId="51" applyNumberFormat="1" applyFont="1" applyFill="1" applyBorder="1" applyAlignment="1">
      <alignment horizontal="center" vertical="center" wrapText="1"/>
    </xf>
    <xf numFmtId="172" fontId="22" fillId="6" borderId="56" xfId="29" applyFont="1" applyFill="1" applyBorder="1" applyAlignment="1">
      <alignment horizontal="center"/>
    </xf>
    <xf numFmtId="172" fontId="22" fillId="6" borderId="59" xfId="29" applyFont="1" applyFill="1" applyBorder="1" applyAlignment="1">
      <alignment horizontal="center"/>
    </xf>
    <xf numFmtId="0" fontId="19" fillId="5" borderId="12" xfId="0" applyFont="1" applyFill="1" applyBorder="1" applyAlignment="1">
      <alignment horizontal="center" vertical="center"/>
    </xf>
    <xf numFmtId="170" fontId="10" fillId="0" borderId="6" xfId="14" applyNumberFormat="1" applyFont="1" applyBorder="1" applyAlignment="1">
      <alignment horizontal="center" vertical="center"/>
    </xf>
    <xf numFmtId="170" fontId="10" fillId="0" borderId="8" xfId="14" applyNumberFormat="1" applyFont="1" applyBorder="1" applyAlignment="1">
      <alignment horizontal="center" vertical="center"/>
    </xf>
    <xf numFmtId="0" fontId="0" fillId="0" borderId="40" xfId="0" applyBorder="1" applyAlignment="1">
      <alignment horizontal="center"/>
    </xf>
    <xf numFmtId="170" fontId="10" fillId="0" borderId="1" xfId="14" applyNumberFormat="1" applyFont="1" applyBorder="1" applyAlignment="1">
      <alignment horizontal="center" vertical="center"/>
    </xf>
    <xf numFmtId="0" fontId="8" fillId="0" borderId="6" xfId="14" applyFont="1" applyBorder="1" applyAlignment="1">
      <alignment horizontal="center" vertical="center" wrapText="1"/>
    </xf>
    <xf numFmtId="0" fontId="8" fillId="0" borderId="17" xfId="14" applyFont="1" applyBorder="1" applyAlignment="1">
      <alignment horizontal="center" vertical="center" wrapText="1"/>
    </xf>
    <xf numFmtId="0" fontId="46" fillId="0" borderId="0" xfId="56" applyFont="1" applyAlignment="1">
      <alignment horizontal="center" vertical="center"/>
    </xf>
  </cellXfs>
  <cellStyles count="60">
    <cellStyle name="Comma 2" xfId="27" xr:uid="{00000000-0005-0000-0000-000001000000}"/>
    <cellStyle name="Comma 2 2" xfId="45" xr:uid="{E2F13E1C-F48C-4203-820E-AF4CA7B46FF1}"/>
    <cellStyle name="Comma 3" xfId="28" xr:uid="{00000000-0005-0000-0000-000002000000}"/>
    <cellStyle name="Comma_BoilerCalc" xfId="49" xr:uid="{66A106C6-0D69-46DF-9D4E-66F2539696C9}"/>
    <cellStyle name="Comma0" xfId="1" xr:uid="{00000000-0005-0000-0000-000003000000}"/>
    <cellStyle name="Currency 2" xfId="35" xr:uid="{72B72D11-0400-423B-AE6C-5706C8A92658}"/>
    <cellStyle name="Currency0" xfId="2" xr:uid="{00000000-0005-0000-0000-000004000000}"/>
    <cellStyle name="Date" xfId="3" xr:uid="{00000000-0005-0000-0000-000005000000}"/>
    <cellStyle name="F2" xfId="4" xr:uid="{00000000-0005-0000-0000-000006000000}"/>
    <cellStyle name="F3" xfId="5" xr:uid="{00000000-0005-0000-0000-000007000000}"/>
    <cellStyle name="F4" xfId="6" xr:uid="{00000000-0005-0000-0000-000008000000}"/>
    <cellStyle name="F5" xfId="7" xr:uid="{00000000-0005-0000-0000-000009000000}"/>
    <cellStyle name="F6" xfId="8" xr:uid="{00000000-0005-0000-0000-00000A000000}"/>
    <cellStyle name="F7" xfId="9" xr:uid="{00000000-0005-0000-0000-00000B000000}"/>
    <cellStyle name="F8" xfId="10" xr:uid="{00000000-0005-0000-0000-00000C000000}"/>
    <cellStyle name="Fixed" xfId="11" xr:uid="{00000000-0005-0000-0000-00000D000000}"/>
    <cellStyle name="HEADING1" xfId="12" xr:uid="{00000000-0005-0000-0000-00000F000000}"/>
    <cellStyle name="HEADING2" xfId="13" xr:uid="{00000000-0005-0000-0000-000010000000}"/>
    <cellStyle name="Normal" xfId="0" builtinId="0"/>
    <cellStyle name="Normal 10" xfId="25" xr:uid="{00000000-0005-0000-0000-000012000000}"/>
    <cellStyle name="Normal 10 10" xfId="58" xr:uid="{3371BDA6-AF90-4B2E-B627-B35EE6DE11C8}"/>
    <cellStyle name="Normal 11" xfId="43" xr:uid="{BEDDB0B8-62B6-4A97-AA20-6E0DF59AD0C6}"/>
    <cellStyle name="Normal 2" xfId="14" xr:uid="{00000000-0005-0000-0000-000013000000}"/>
    <cellStyle name="Normal 2 2" xfId="15" xr:uid="{00000000-0005-0000-0000-000014000000}"/>
    <cellStyle name="Normal 2 2 2" xfId="16" xr:uid="{00000000-0005-0000-0000-000015000000}"/>
    <cellStyle name="Normal 3" xfId="17" xr:uid="{00000000-0005-0000-0000-000016000000}"/>
    <cellStyle name="Normal 3 2" xfId="18" xr:uid="{00000000-0005-0000-0000-000017000000}"/>
    <cellStyle name="Normal 3 2 2" xfId="37" xr:uid="{4F8D20F2-7F27-4E86-A6DA-83DE2015E764}"/>
    <cellStyle name="Normal 3 2 2 2" xfId="47" xr:uid="{6B90B862-DEE9-46B2-A83D-909BC813C235}"/>
    <cellStyle name="Normal 3 2 2 4" xfId="31" xr:uid="{222DBFC2-164B-4F95-96E8-CFEDDDD8A9C9}"/>
    <cellStyle name="Normal 3 2 2 4 2" xfId="42" xr:uid="{DED34EE6-9758-4355-B48E-4867F5D41471}"/>
    <cellStyle name="Normal 3 2 2 4 9" xfId="33" xr:uid="{D5F64068-AC15-4376-BD4A-CEABED9F5C3D}"/>
    <cellStyle name="Normal 3 2 2 4 9 2" xfId="52" xr:uid="{88EC9C4C-75DC-4F44-B4C6-F225C4824473}"/>
    <cellStyle name="Normal 3 2 2 4 9 2 2" xfId="54" xr:uid="{6F994C85-6159-4739-9A23-D1F7B993053A}"/>
    <cellStyle name="Normal 4" xfId="19" xr:uid="{00000000-0005-0000-0000-000018000000}"/>
    <cellStyle name="Normal 4 2" xfId="46" xr:uid="{24F4B4AB-57CF-407D-B380-71A126C205ED}"/>
    <cellStyle name="Normal 4 2 7" xfId="56" xr:uid="{EED01214-A177-43CD-BE99-585F5C073937}"/>
    <cellStyle name="Normal 4 2 8" xfId="53" xr:uid="{868075E9-D870-467A-8619-0E5EA5F06C51}"/>
    <cellStyle name="Normal 4 2 8 2" xfId="57" xr:uid="{613A7E56-C7B0-4717-95E6-941B4CA979D5}"/>
    <cellStyle name="Normal 4 3 2" xfId="39" xr:uid="{4C6E470E-44FD-4AAE-B33F-E036D29B6172}"/>
    <cellStyle name="Normal 5" xfId="20" xr:uid="{00000000-0005-0000-0000-000019000000}"/>
    <cellStyle name="Normal 5 2" xfId="26" xr:uid="{00000000-0005-0000-0000-00001A000000}"/>
    <cellStyle name="Normal 6" xfId="21" xr:uid="{00000000-0005-0000-0000-00001B000000}"/>
    <cellStyle name="Normal 6 2" xfId="36" xr:uid="{7C4D16BD-7ED8-4EBE-B6A9-36FA01E76421}"/>
    <cellStyle name="Normal 6 2 2" xfId="41" xr:uid="{5C638C57-EF8B-487F-A859-8BCB7BCF769B}"/>
    <cellStyle name="Normal 6 3" xfId="44" xr:uid="{867502BB-0853-45D7-9BBF-1639BB1CE69B}"/>
    <cellStyle name="Normal 6 37" xfId="34" xr:uid="{F7FDB6EA-DE4D-4FF7-A99C-F2456CB863CA}"/>
    <cellStyle name="Normal 6 37 2" xfId="38" xr:uid="{73C0C6C7-6E59-4E41-9941-FEAF50B2BEEF}"/>
    <cellStyle name="Normal 6 37 3" xfId="40" xr:uid="{E0B873FF-0E48-433C-BFB9-746E7020BA05}"/>
    <cellStyle name="Normal 6 38" xfId="32" xr:uid="{448E8177-45F7-47CF-9200-9BE0D26C3852}"/>
    <cellStyle name="Normal 6 4" xfId="59" xr:uid="{520C9A40-C2CA-47C4-BFAE-D95EDF3BF4B1}"/>
    <cellStyle name="Normal 7" xfId="22" xr:uid="{00000000-0005-0000-0000-00001C000000}"/>
    <cellStyle name="Normal 8" xfId="24" xr:uid="{00000000-0005-0000-0000-00001D000000}"/>
    <cellStyle name="Normal 9" xfId="23" xr:uid="{00000000-0005-0000-0000-00001E000000}"/>
    <cellStyle name="Normal 9 38" xfId="29" xr:uid="{F16A9573-1653-43A3-B0D7-17FC2ACE148B}"/>
    <cellStyle name="Normal_BoilerCalc" xfId="48" xr:uid="{9F76275D-47E5-4A82-B4CA-B447B0EFCEB6}"/>
    <cellStyle name="Normal_Sheet1_1" xfId="51" xr:uid="{3AB194CB-18E2-47BF-B5E7-6952482031E0}"/>
    <cellStyle name="Percent" xfId="50" builtinId="5"/>
    <cellStyle name="Percent 2" xfId="30" xr:uid="{ACCC8A1F-C679-458A-B74E-1B1539C67C20}"/>
    <cellStyle name="Percent 32 2" xfId="55" xr:uid="{91CD4B5E-2320-4536-BF1F-0304A087358C}"/>
  </cellStyles>
  <dxfs count="0"/>
  <tableStyles count="0" defaultTableStyle="TableStyleMedium9" defaultPivotStyle="PivotStyleLight16"/>
  <colors>
    <mruColors>
      <color rgb="FFFFFF99"/>
      <color rgb="FFFF66FF"/>
      <color rgb="FF00FF00"/>
      <color rgb="FF00FFFF"/>
      <color rgb="FFCCCCCC"/>
      <color rgb="FFB6DDE8"/>
      <color rgb="FF608BB4"/>
      <color rgb="FFBFD2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37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CD1A1-22DB-48B0-9E64-A87F03CCBCE6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52D54-64AC-4671-A02F-CF9A398076F1}">
  <sheetPr>
    <tabColor theme="0"/>
  </sheetPr>
  <dimension ref="A1:T65"/>
  <sheetViews>
    <sheetView tabSelected="1" zoomScaleNormal="100" zoomScaleSheetLayoutView="86" workbookViewId="0">
      <selection activeCell="I20" sqref="I20"/>
    </sheetView>
  </sheetViews>
  <sheetFormatPr defaultColWidth="9.140625" defaultRowHeight="12.75" x14ac:dyDescent="0.2"/>
  <cols>
    <col min="1" max="1" width="3.7109375" style="133" customWidth="1"/>
    <col min="2" max="2" width="25.7109375" style="134" customWidth="1"/>
    <col min="3" max="3" width="28.28515625" style="134" customWidth="1"/>
    <col min="4" max="4" width="28.42578125" style="134" customWidth="1"/>
    <col min="5" max="5" width="12.140625" style="135" bestFit="1" customWidth="1"/>
    <col min="6" max="6" width="16.7109375" style="135" customWidth="1"/>
    <col min="7" max="8" width="14" style="135" customWidth="1"/>
    <col min="9" max="9" width="9.5703125" style="135" bestFit="1" customWidth="1"/>
    <col min="10" max="10" width="9.5703125" style="135" customWidth="1"/>
    <col min="11" max="11" width="29.7109375" style="135" customWidth="1"/>
    <col min="12" max="12" width="14" style="134" bestFit="1" customWidth="1"/>
    <col min="13" max="13" width="10.7109375" style="134" customWidth="1"/>
    <col min="14" max="14" width="15" style="134" customWidth="1"/>
    <col min="15" max="16384" width="9.140625" style="134"/>
  </cols>
  <sheetData>
    <row r="1" spans="2:17" x14ac:dyDescent="0.2">
      <c r="B1" s="28"/>
    </row>
    <row r="2" spans="2:17" x14ac:dyDescent="0.2">
      <c r="B2" s="28"/>
      <c r="D2" s="135"/>
    </row>
    <row r="4" spans="2:17" ht="14.45" customHeight="1" x14ac:dyDescent="0.2">
      <c r="B4" s="42" t="s">
        <v>0</v>
      </c>
      <c r="C4" s="137" t="s">
        <v>1</v>
      </c>
      <c r="N4" s="556" t="s">
        <v>2</v>
      </c>
      <c r="O4" s="556"/>
      <c r="P4" s="556"/>
      <c r="Q4" s="138">
        <v>0.15</v>
      </c>
    </row>
    <row r="5" spans="2:17" x14ac:dyDescent="0.2">
      <c r="B5" s="42" t="s">
        <v>3</v>
      </c>
      <c r="C5" s="137" t="s">
        <v>4</v>
      </c>
      <c r="D5" s="137"/>
    </row>
    <row r="6" spans="2:17" x14ac:dyDescent="0.2">
      <c r="B6" s="42" t="s">
        <v>5</v>
      </c>
      <c r="C6" s="137" t="s">
        <v>6</v>
      </c>
      <c r="D6" s="34"/>
    </row>
    <row r="7" spans="2:17" x14ac:dyDescent="0.2">
      <c r="B7" s="42"/>
      <c r="C7" s="137"/>
      <c r="D7" s="137"/>
    </row>
    <row r="8" spans="2:17" x14ac:dyDescent="0.2">
      <c r="B8" s="47" t="str">
        <f ca="1">CONCATENATE("TABLE ",_xlfn.SHEET()-1,". Key Inputs Summary")</f>
        <v>TABLE 1. Key Inputs Summary</v>
      </c>
      <c r="C8" s="137"/>
      <c r="D8" s="137"/>
    </row>
    <row r="9" spans="2:17" x14ac:dyDescent="0.2">
      <c r="B9" s="42"/>
      <c r="C9" s="137"/>
      <c r="D9" s="137"/>
    </row>
    <row r="10" spans="2:17" x14ac:dyDescent="0.2">
      <c r="B10" s="139" t="s">
        <v>7</v>
      </c>
    </row>
    <row r="11" spans="2:17" ht="5.25" customHeight="1" thickBot="1" x14ac:dyDescent="0.25">
      <c r="B11" s="139"/>
    </row>
    <row r="12" spans="2:17" ht="6.75" customHeight="1" x14ac:dyDescent="0.2">
      <c r="B12" s="140"/>
      <c r="C12" s="141"/>
      <c r="D12" s="142"/>
      <c r="E12" s="143"/>
      <c r="F12" s="144"/>
      <c r="G12" s="145"/>
      <c r="H12" s="146"/>
      <c r="I12" s="145"/>
      <c r="J12" s="249"/>
      <c r="K12" s="146"/>
    </row>
    <row r="13" spans="2:17" x14ac:dyDescent="0.2">
      <c r="B13" s="147" t="s">
        <v>8</v>
      </c>
      <c r="C13" s="344" t="s">
        <v>9</v>
      </c>
      <c r="D13" s="345" t="s">
        <v>10</v>
      </c>
      <c r="E13" s="557" t="s">
        <v>11</v>
      </c>
      <c r="F13" s="558"/>
      <c r="G13" s="559" t="s">
        <v>12</v>
      </c>
      <c r="H13" s="560"/>
      <c r="I13" s="561" t="s">
        <v>13</v>
      </c>
      <c r="J13" s="562"/>
      <c r="K13" s="560"/>
    </row>
    <row r="14" spans="2:17" ht="5.25" customHeight="1" thickBot="1" x14ac:dyDescent="0.25">
      <c r="B14" s="149"/>
      <c r="C14" s="150"/>
      <c r="D14" s="151"/>
      <c r="E14" s="152"/>
      <c r="F14" s="153"/>
      <c r="G14" s="154"/>
      <c r="H14" s="155"/>
      <c r="I14" s="154"/>
      <c r="J14" s="250"/>
      <c r="K14" s="155"/>
    </row>
    <row r="15" spans="2:17" ht="6" customHeight="1" x14ac:dyDescent="0.2">
      <c r="B15" s="156"/>
      <c r="C15" s="346"/>
      <c r="D15" s="347"/>
      <c r="E15" s="345"/>
      <c r="F15" s="157"/>
      <c r="G15" s="348"/>
      <c r="H15" s="158"/>
      <c r="I15" s="348"/>
      <c r="J15" s="96"/>
      <c r="K15" s="158"/>
    </row>
    <row r="16" spans="2:17" hidden="1" x14ac:dyDescent="0.2">
      <c r="B16" s="159" t="s">
        <v>14</v>
      </c>
      <c r="C16" s="349" t="s">
        <v>15</v>
      </c>
      <c r="D16" s="350" t="s">
        <v>16</v>
      </c>
      <c r="E16" s="351">
        <v>79.8</v>
      </c>
      <c r="F16" s="160" t="s">
        <v>17</v>
      </c>
      <c r="G16" s="352">
        <v>8760</v>
      </c>
      <c r="H16" s="158" t="s">
        <v>18</v>
      </c>
      <c r="I16" s="352" t="e">
        <f>SUM(#REF!)</f>
        <v>#REF!</v>
      </c>
      <c r="J16" s="251" t="s">
        <v>19</v>
      </c>
      <c r="K16" s="316" t="s">
        <v>20</v>
      </c>
    </row>
    <row r="17" spans="2:20" hidden="1" x14ac:dyDescent="0.2">
      <c r="B17" s="159" t="s">
        <v>21</v>
      </c>
      <c r="C17" s="349" t="s">
        <v>22</v>
      </c>
      <c r="D17" s="350" t="s">
        <v>16</v>
      </c>
      <c r="E17" s="353">
        <v>84.6</v>
      </c>
      <c r="F17" s="157" t="s">
        <v>17</v>
      </c>
      <c r="G17" s="352">
        <v>8760</v>
      </c>
      <c r="H17" s="158" t="s">
        <v>18</v>
      </c>
      <c r="I17" s="352" t="e">
        <f>SUM(#REF!)</f>
        <v>#REF!</v>
      </c>
      <c r="J17" s="251" t="s">
        <v>19</v>
      </c>
      <c r="K17" s="316" t="s">
        <v>20</v>
      </c>
    </row>
    <row r="18" spans="2:20" x14ac:dyDescent="0.2">
      <c r="B18" s="159" t="s">
        <v>23</v>
      </c>
      <c r="C18" s="349" t="s">
        <v>24</v>
      </c>
      <c r="D18" s="350" t="s">
        <v>16</v>
      </c>
      <c r="E18" s="353">
        <v>41.6</v>
      </c>
      <c r="F18" s="157" t="s">
        <v>17</v>
      </c>
      <c r="G18" s="352">
        <v>8760</v>
      </c>
      <c r="H18" s="158" t="s">
        <v>18</v>
      </c>
      <c r="I18" s="352">
        <v>0</v>
      </c>
      <c r="J18" s="251" t="s">
        <v>19</v>
      </c>
      <c r="K18" s="158" t="s">
        <v>25</v>
      </c>
    </row>
    <row r="19" spans="2:20" x14ac:dyDescent="0.2">
      <c r="B19" s="159" t="s">
        <v>26</v>
      </c>
      <c r="C19" s="349" t="s">
        <v>27</v>
      </c>
      <c r="D19" s="350" t="s">
        <v>16</v>
      </c>
      <c r="E19" s="353">
        <v>41.6</v>
      </c>
      <c r="F19" s="157" t="s">
        <v>17</v>
      </c>
      <c r="G19" s="352">
        <v>8760</v>
      </c>
      <c r="H19" s="158" t="s">
        <v>18</v>
      </c>
      <c r="I19" s="352">
        <v>0</v>
      </c>
      <c r="J19" s="251" t="s">
        <v>19</v>
      </c>
      <c r="K19" s="158" t="s">
        <v>25</v>
      </c>
    </row>
    <row r="20" spans="2:20" x14ac:dyDescent="0.2">
      <c r="B20" s="159" t="s">
        <v>28</v>
      </c>
      <c r="C20" s="349" t="s">
        <v>29</v>
      </c>
      <c r="D20" s="350" t="s">
        <v>30</v>
      </c>
      <c r="E20" s="353">
        <v>97.7</v>
      </c>
      <c r="F20" s="157" t="s">
        <v>17</v>
      </c>
      <c r="G20" s="352">
        <v>8760</v>
      </c>
      <c r="H20" s="158" t="s">
        <v>18</v>
      </c>
      <c r="I20" s="352">
        <f>E20*G20</f>
        <v>855852</v>
      </c>
      <c r="J20" s="251" t="s">
        <v>19</v>
      </c>
      <c r="K20" s="158" t="s">
        <v>19</v>
      </c>
    </row>
    <row r="21" spans="2:20" x14ac:dyDescent="0.2">
      <c r="B21" s="159" t="s">
        <v>28</v>
      </c>
      <c r="C21" s="349" t="s">
        <v>29</v>
      </c>
      <c r="D21" s="350"/>
      <c r="E21" s="353"/>
      <c r="F21" s="157"/>
      <c r="G21" s="352"/>
      <c r="H21" s="158"/>
      <c r="I21" s="352">
        <v>230000</v>
      </c>
      <c r="J21" s="251" t="s">
        <v>19</v>
      </c>
      <c r="K21" s="158" t="s">
        <v>31</v>
      </c>
    </row>
    <row r="22" spans="2:20" x14ac:dyDescent="0.2">
      <c r="B22" s="159" t="s">
        <v>28</v>
      </c>
      <c r="C22" s="349" t="s">
        <v>29</v>
      </c>
      <c r="D22" s="350"/>
      <c r="E22" s="353"/>
      <c r="F22" s="157"/>
      <c r="G22" s="352"/>
      <c r="H22" s="158"/>
      <c r="I22" s="352">
        <v>625000</v>
      </c>
      <c r="J22" s="251" t="s">
        <v>19</v>
      </c>
      <c r="K22" s="158" t="s">
        <v>32</v>
      </c>
    </row>
    <row r="23" spans="2:20" ht="6" customHeight="1" thickBot="1" x14ac:dyDescent="0.25">
      <c r="B23" s="161"/>
      <c r="C23" s="162"/>
      <c r="D23" s="163"/>
      <c r="E23" s="152"/>
      <c r="F23" s="153"/>
      <c r="G23" s="154"/>
      <c r="H23" s="155"/>
      <c r="I23" s="154"/>
      <c r="J23" s="250"/>
      <c r="K23" s="155"/>
    </row>
    <row r="24" spans="2:20" x14ac:dyDescent="0.2">
      <c r="B24" s="315"/>
      <c r="C24" s="315"/>
      <c r="D24" s="315"/>
      <c r="E24" s="92"/>
      <c r="F24" s="92"/>
      <c r="G24" s="96"/>
      <c r="H24" s="96"/>
      <c r="I24" s="96"/>
      <c r="J24" s="96"/>
      <c r="K24" s="96"/>
      <c r="O24" s="96"/>
      <c r="P24" s="96"/>
      <c r="R24" s="343"/>
      <c r="S24" s="343"/>
      <c r="T24" s="185"/>
    </row>
    <row r="25" spans="2:20" x14ac:dyDescent="0.2">
      <c r="B25" s="164" t="s">
        <v>33</v>
      </c>
      <c r="O25" s="136"/>
      <c r="R25" s="361"/>
    </row>
    <row r="26" spans="2:20" ht="5.25" customHeight="1" thickBot="1" x14ac:dyDescent="0.25"/>
    <row r="27" spans="2:20" ht="5.25" customHeight="1" x14ac:dyDescent="0.2">
      <c r="B27" s="140"/>
      <c r="C27" s="141"/>
      <c r="D27" s="144"/>
      <c r="E27" s="165"/>
      <c r="F27" s="143"/>
      <c r="G27" s="166"/>
      <c r="H27" s="166"/>
      <c r="I27" s="167"/>
      <c r="J27" s="92"/>
      <c r="K27" s="136"/>
    </row>
    <row r="28" spans="2:20" x14ac:dyDescent="0.2">
      <c r="B28" s="147" t="s">
        <v>34</v>
      </c>
      <c r="C28" s="344" t="s">
        <v>35</v>
      </c>
      <c r="D28" s="148" t="s">
        <v>36</v>
      </c>
      <c r="E28" s="344" t="s">
        <v>37</v>
      </c>
      <c r="F28" s="345" t="s">
        <v>38</v>
      </c>
      <c r="G28" s="168"/>
      <c r="H28" s="168"/>
      <c r="I28" s="169"/>
      <c r="J28" s="168"/>
      <c r="K28" s="136"/>
    </row>
    <row r="29" spans="2:20" ht="6" customHeight="1" thickBot="1" x14ac:dyDescent="0.25">
      <c r="B29" s="149"/>
      <c r="C29" s="150"/>
      <c r="D29" s="153"/>
      <c r="E29" s="170"/>
      <c r="F29" s="152"/>
      <c r="G29" s="171"/>
      <c r="H29" s="171"/>
      <c r="I29" s="172"/>
      <c r="J29" s="92"/>
      <c r="K29" s="136"/>
    </row>
    <row r="30" spans="2:20" ht="3" customHeight="1" x14ac:dyDescent="0.2">
      <c r="B30" s="173"/>
      <c r="C30" s="354"/>
      <c r="D30" s="135"/>
      <c r="E30" s="355"/>
      <c r="F30" s="356"/>
      <c r="I30" s="174"/>
      <c r="K30" s="136"/>
    </row>
    <row r="31" spans="2:20" x14ac:dyDescent="0.2">
      <c r="B31" s="173" t="s">
        <v>31</v>
      </c>
      <c r="C31" s="354" t="s">
        <v>39</v>
      </c>
      <c r="D31" s="317">
        <v>1068.9000000000001</v>
      </c>
      <c r="E31" s="355" t="s">
        <v>40</v>
      </c>
      <c r="F31" s="357" t="s">
        <v>41</v>
      </c>
      <c r="G31" s="175"/>
      <c r="H31" s="175"/>
      <c r="I31" s="176"/>
      <c r="J31" s="175"/>
      <c r="K31" s="136"/>
    </row>
    <row r="32" spans="2:20" x14ac:dyDescent="0.2">
      <c r="B32" s="173" t="s">
        <v>32</v>
      </c>
      <c r="C32" s="354" t="s">
        <v>39</v>
      </c>
      <c r="D32" s="318">
        <v>511.7</v>
      </c>
      <c r="E32" s="355" t="s">
        <v>40</v>
      </c>
      <c r="F32" s="357" t="s">
        <v>41</v>
      </c>
      <c r="G32" s="175"/>
      <c r="H32" s="175"/>
      <c r="I32" s="176"/>
      <c r="J32" s="175"/>
      <c r="K32" s="136"/>
    </row>
    <row r="33" spans="1:11" ht="5.25" customHeight="1" thickBot="1" x14ac:dyDescent="0.25">
      <c r="B33" s="177"/>
      <c r="C33" s="178"/>
      <c r="D33" s="179"/>
      <c r="E33" s="180"/>
      <c r="F33" s="181"/>
      <c r="G33" s="179"/>
      <c r="H33" s="179"/>
      <c r="I33" s="182"/>
      <c r="K33" s="136"/>
    </row>
    <row r="34" spans="1:11" ht="13.5" customHeight="1" x14ac:dyDescent="0.2"/>
    <row r="35" spans="1:11" ht="13.5" customHeight="1" x14ac:dyDescent="0.2">
      <c r="B35" s="164" t="s">
        <v>42</v>
      </c>
    </row>
    <row r="36" spans="1:11" ht="6" customHeight="1" thickBot="1" x14ac:dyDescent="0.25"/>
    <row r="37" spans="1:11" ht="6" customHeight="1" x14ac:dyDescent="0.2">
      <c r="B37" s="234"/>
      <c r="C37" s="241"/>
      <c r="D37" s="244"/>
    </row>
    <row r="38" spans="1:11" ht="13.5" customHeight="1" x14ac:dyDescent="0.2">
      <c r="B38" s="555" t="s">
        <v>43</v>
      </c>
      <c r="C38" s="359" t="s">
        <v>44</v>
      </c>
      <c r="D38" s="546" t="s">
        <v>45</v>
      </c>
    </row>
    <row r="39" spans="1:11" ht="13.5" customHeight="1" x14ac:dyDescent="0.2">
      <c r="B39" s="555"/>
      <c r="C39" s="359" t="s">
        <v>46</v>
      </c>
      <c r="D39" s="546" t="s">
        <v>46</v>
      </c>
    </row>
    <row r="40" spans="1:11" ht="6" customHeight="1" x14ac:dyDescent="0.2">
      <c r="B40" s="242"/>
      <c r="C40" s="243"/>
      <c r="D40" s="245"/>
    </row>
    <row r="41" spans="1:11" ht="13.5" customHeight="1" x14ac:dyDescent="0.2">
      <c r="B41" s="191" t="s">
        <v>47</v>
      </c>
      <c r="C41" s="358">
        <v>3.5999999999999997E-2</v>
      </c>
      <c r="D41" s="547">
        <v>3.5999999999999997E-2</v>
      </c>
    </row>
    <row r="42" spans="1:11" ht="13.5" customHeight="1" thickBot="1" x14ac:dyDescent="0.25">
      <c r="B42" s="192" t="s">
        <v>48</v>
      </c>
      <c r="C42" s="492">
        <v>3.6244088223974728E-2</v>
      </c>
      <c r="D42" s="493">
        <v>3.6244088223974728E-2</v>
      </c>
      <c r="E42" s="507" t="s">
        <v>49</v>
      </c>
    </row>
    <row r="43" spans="1:11" ht="13.5" customHeight="1" x14ac:dyDescent="0.2"/>
    <row r="44" spans="1:11" s="135" customFormat="1" x14ac:dyDescent="0.2">
      <c r="A44" s="133"/>
      <c r="B44" s="164" t="s">
        <v>50</v>
      </c>
      <c r="C44" s="134"/>
      <c r="D44" s="134"/>
    </row>
    <row r="45" spans="1:11" s="135" customFormat="1" ht="6" customHeight="1" thickBot="1" x14ac:dyDescent="0.25">
      <c r="A45" s="133"/>
      <c r="B45" s="134"/>
      <c r="C45" s="134"/>
      <c r="D45" s="134"/>
    </row>
    <row r="46" spans="1:11" s="135" customFormat="1" ht="4.5" customHeight="1" x14ac:dyDescent="0.2">
      <c r="A46" s="133"/>
      <c r="B46" s="183"/>
      <c r="C46" s="184"/>
      <c r="D46" s="185"/>
    </row>
    <row r="47" spans="1:11" s="135" customFormat="1" ht="15" x14ac:dyDescent="0.2">
      <c r="A47" s="133"/>
      <c r="B47" s="186" t="s">
        <v>43</v>
      </c>
      <c r="C47" s="548" t="s">
        <v>51</v>
      </c>
      <c r="D47" s="187"/>
      <c r="E47" s="188"/>
    </row>
    <row r="48" spans="1:11" s="135" customFormat="1" ht="6" customHeight="1" thickBot="1" x14ac:dyDescent="0.25">
      <c r="A48" s="133"/>
      <c r="B48" s="189"/>
      <c r="C48" s="547"/>
      <c r="D48" s="185"/>
    </row>
    <row r="49" spans="1:10" s="135" customFormat="1" ht="15.75" x14ac:dyDescent="0.3">
      <c r="A49" s="133"/>
      <c r="B49" s="190" t="s">
        <v>52</v>
      </c>
      <c r="C49" s="184">
        <v>1</v>
      </c>
      <c r="D49" s="185"/>
    </row>
    <row r="50" spans="1:10" s="135" customFormat="1" ht="15.75" x14ac:dyDescent="0.3">
      <c r="A50" s="133"/>
      <c r="B50" s="191" t="s">
        <v>53</v>
      </c>
      <c r="C50" s="547">
        <v>28</v>
      </c>
      <c r="D50" s="185"/>
    </row>
    <row r="51" spans="1:10" s="135" customFormat="1" ht="16.5" thickBot="1" x14ac:dyDescent="0.35">
      <c r="A51" s="133"/>
      <c r="B51" s="192" t="s">
        <v>54</v>
      </c>
      <c r="C51" s="193">
        <v>265</v>
      </c>
      <c r="D51" s="185"/>
    </row>
    <row r="52" spans="1:10" s="135" customFormat="1" ht="16.5" x14ac:dyDescent="0.3">
      <c r="A52" s="133"/>
      <c r="B52" s="194" t="s">
        <v>55</v>
      </c>
      <c r="C52" s="134"/>
      <c r="D52" s="134"/>
    </row>
    <row r="53" spans="1:10" s="135" customFormat="1" ht="16.5" customHeight="1" x14ac:dyDescent="0.3">
      <c r="A53" s="133"/>
      <c r="B53" s="195" t="s">
        <v>56</v>
      </c>
      <c r="C53" s="53"/>
      <c r="D53" s="53"/>
      <c r="E53" s="196"/>
      <c r="F53" s="196"/>
      <c r="G53" s="196"/>
      <c r="H53" s="196"/>
      <c r="I53" s="196"/>
      <c r="J53" s="196"/>
    </row>
    <row r="54" spans="1:10" ht="13.5" thickBot="1" x14ac:dyDescent="0.25"/>
    <row r="55" spans="1:10" ht="6" customHeight="1" x14ac:dyDescent="0.2">
      <c r="B55" s="234"/>
      <c r="C55" s="244"/>
    </row>
    <row r="56" spans="1:10" x14ac:dyDescent="0.2">
      <c r="B56" s="235" t="s">
        <v>57</v>
      </c>
      <c r="C56" s="549">
        <v>30</v>
      </c>
    </row>
    <row r="57" spans="1:10" ht="16.5" customHeight="1" x14ac:dyDescent="0.2">
      <c r="B57" s="235" t="s">
        <v>58</v>
      </c>
      <c r="C57" s="508">
        <f>C56/100*$C$60/$C$61/7000*1000000</f>
        <v>85.628745182776072</v>
      </c>
    </row>
    <row r="58" spans="1:10" ht="5.25" customHeight="1" thickBot="1" x14ac:dyDescent="0.25">
      <c r="B58" s="177"/>
      <c r="C58" s="248"/>
    </row>
    <row r="60" spans="1:10" x14ac:dyDescent="0.2">
      <c r="B60" s="134" t="s">
        <v>59</v>
      </c>
      <c r="C60" s="134">
        <v>64.066000000000003</v>
      </c>
    </row>
    <row r="61" spans="1:10" x14ac:dyDescent="0.2">
      <c r="B61" s="134" t="s">
        <v>60</v>
      </c>
      <c r="C61" s="134">
        <v>32.064999999999998</v>
      </c>
    </row>
    <row r="65" spans="2:4" x14ac:dyDescent="0.2">
      <c r="B65" s="134" t="s">
        <v>61</v>
      </c>
      <c r="C65" s="293">
        <v>44805</v>
      </c>
      <c r="D65" s="293"/>
    </row>
  </sheetData>
  <mergeCells count="5">
    <mergeCell ref="B38:B39"/>
    <mergeCell ref="N4:P4"/>
    <mergeCell ref="E13:F13"/>
    <mergeCell ref="G13:H13"/>
    <mergeCell ref="I13:K13"/>
  </mergeCells>
  <phoneticPr fontId="57" type="noConversion"/>
  <pageMargins left="0.7" right="0.7" top="0.75" bottom="0.75" header="0.3" footer="0.3"/>
  <pageSetup scale="65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6637B-9A21-4A7B-B3C0-2582FD1ECB6F}">
  <sheetPr>
    <tabColor theme="0"/>
  </sheetPr>
  <dimension ref="B1:L38"/>
  <sheetViews>
    <sheetView view="pageBreakPreview" zoomScale="86" zoomScaleNormal="100" zoomScaleSheetLayoutView="86" workbookViewId="0">
      <selection activeCell="J40" sqref="J40:J41"/>
    </sheetView>
  </sheetViews>
  <sheetFormatPr defaultRowHeight="12.75" x14ac:dyDescent="0.2"/>
  <cols>
    <col min="1" max="1" width="9.140625" style="37"/>
    <col min="2" max="2" width="30" style="37" bestFit="1" customWidth="1"/>
    <col min="3" max="9" width="9.140625" style="37"/>
    <col min="10" max="10" width="10" style="37" bestFit="1" customWidth="1"/>
    <col min="11" max="16384" width="9.140625" style="37"/>
  </cols>
  <sheetData>
    <row r="1" spans="2:12" x14ac:dyDescent="0.2">
      <c r="C1" s="28"/>
    </row>
    <row r="2" spans="2:12" x14ac:dyDescent="0.2">
      <c r="C2" s="28"/>
    </row>
    <row r="3" spans="2:12" x14ac:dyDescent="0.2">
      <c r="C3" s="28"/>
    </row>
    <row r="5" spans="2:12" x14ac:dyDescent="0.2">
      <c r="B5" s="28"/>
    </row>
    <row r="6" spans="2:12" x14ac:dyDescent="0.2">
      <c r="B6" s="42" t="s">
        <v>0</v>
      </c>
      <c r="C6" s="137" t="s">
        <v>1</v>
      </c>
    </row>
    <row r="7" spans="2:12" x14ac:dyDescent="0.2">
      <c r="B7" s="42" t="s">
        <v>3</v>
      </c>
      <c r="C7" s="137" t="s">
        <v>4</v>
      </c>
    </row>
    <row r="8" spans="2:12" x14ac:dyDescent="0.2">
      <c r="B8" s="42" t="s">
        <v>5</v>
      </c>
      <c r="C8" s="137" t="s">
        <v>6</v>
      </c>
    </row>
    <row r="9" spans="2:12" x14ac:dyDescent="0.2">
      <c r="F9" s="34"/>
    </row>
    <row r="10" spans="2:12" x14ac:dyDescent="0.2">
      <c r="B10" s="47" t="str">
        <f ca="1">CONCATENATE("TABLE ",_xlfn.SHEET()-1,". Project Emissions Summary - NSR")</f>
        <v>TABLE 2. Project Emissions Summary - NSR</v>
      </c>
    </row>
    <row r="11" spans="2:12" ht="13.5" thickBot="1" x14ac:dyDescent="0.25"/>
    <row r="12" spans="2:12" ht="12.75" customHeight="1" thickBot="1" x14ac:dyDescent="0.25">
      <c r="B12" s="319"/>
      <c r="C12" s="563" t="s">
        <v>62</v>
      </c>
      <c r="D12" s="564"/>
      <c r="E12" s="564"/>
      <c r="F12" s="564"/>
      <c r="G12" s="564"/>
      <c r="H12" s="564"/>
      <c r="I12" s="564"/>
      <c r="J12" s="564"/>
      <c r="K12" s="564"/>
      <c r="L12" s="565"/>
    </row>
    <row r="13" spans="2:12" ht="27" x14ac:dyDescent="0.3">
      <c r="B13" s="320" t="s">
        <v>63</v>
      </c>
      <c r="C13" s="321" t="s">
        <v>64</v>
      </c>
      <c r="D13" s="322" t="s">
        <v>65</v>
      </c>
      <c r="E13" s="322" t="s">
        <v>48</v>
      </c>
      <c r="F13" s="322" t="s">
        <v>66</v>
      </c>
      <c r="G13" s="323" t="s">
        <v>67</v>
      </c>
      <c r="H13" s="323" t="s">
        <v>47</v>
      </c>
      <c r="I13" s="323" t="s">
        <v>68</v>
      </c>
      <c r="J13" s="323" t="s">
        <v>69</v>
      </c>
      <c r="K13" s="323" t="s">
        <v>70</v>
      </c>
      <c r="L13" s="324" t="s">
        <v>71</v>
      </c>
    </row>
    <row r="14" spans="2:12" x14ac:dyDescent="0.2">
      <c r="B14" s="513" t="str">
        <f>Summary_Individual!$C$20</f>
        <v>Boiler No. 5 (New)</v>
      </c>
      <c r="C14" s="514">
        <f>Summary_Individual!E20</f>
        <v>4.589436139969763</v>
      </c>
      <c r="D14" s="515">
        <f>Summary_Individual!G25</f>
        <v>6.2779126271059429</v>
      </c>
      <c r="E14" s="515">
        <f>Summary_Individual!O20</f>
        <v>15.494347715749196</v>
      </c>
      <c r="F14" s="515" cm="1">
        <f t="array" ref="F14">_xlfn.XLOOKUP(F$11,Summary_Individual!$D$10:$AC$10,_xlfn.XLOOKUP($B14,Summary_Individual!$C$14:$C$22,Summary_Individual!$D$14:$AC$22,""))</f>
        <v>0</v>
      </c>
      <c r="G14" s="516">
        <f>Summary_Individual!K20</f>
        <v>52.368514791733233</v>
      </c>
      <c r="H14" s="516">
        <f>Summary_Individual!M20</f>
        <v>15.389999999999997</v>
      </c>
      <c r="I14" s="517">
        <f>Summary_Individual!AC20</f>
        <v>52636.389832791931</v>
      </c>
      <c r="J14" s="516">
        <f>Summary_Individual!I20</f>
        <v>5.4842957617551518</v>
      </c>
      <c r="K14" s="516">
        <f>Summary_Individual!U20</f>
        <v>0.49058099732788435</v>
      </c>
      <c r="L14" s="518">
        <f>Summary_Individual!Q20</f>
        <v>1.5232682601070764</v>
      </c>
    </row>
    <row r="15" spans="2:12" ht="13.5" thickBot="1" x14ac:dyDescent="0.25"/>
    <row r="16" spans="2:12" ht="13.5" thickBot="1" x14ac:dyDescent="0.25">
      <c r="B16" s="319"/>
      <c r="C16" s="563" t="s">
        <v>72</v>
      </c>
      <c r="D16" s="564"/>
      <c r="E16" s="564"/>
      <c r="F16" s="564"/>
      <c r="G16" s="564"/>
      <c r="H16" s="564"/>
      <c r="I16" s="564"/>
      <c r="J16" s="564"/>
      <c r="K16" s="564"/>
      <c r="L16" s="565"/>
    </row>
    <row r="17" spans="2:12" ht="27" x14ac:dyDescent="0.3">
      <c r="B17" s="320" t="s">
        <v>63</v>
      </c>
      <c r="C17" s="321" t="s">
        <v>64</v>
      </c>
      <c r="D17" s="322" t="s">
        <v>65</v>
      </c>
      <c r="E17" s="322" t="s">
        <v>48</v>
      </c>
      <c r="F17" s="322" t="s">
        <v>66</v>
      </c>
      <c r="G17" s="323" t="s">
        <v>67</v>
      </c>
      <c r="H17" s="323" t="s">
        <v>47</v>
      </c>
      <c r="I17" s="323" t="s">
        <v>68</v>
      </c>
      <c r="J17" s="323" t="s">
        <v>69</v>
      </c>
      <c r="K17" s="323" t="s">
        <v>70</v>
      </c>
      <c r="L17" s="324" t="s">
        <v>71</v>
      </c>
    </row>
    <row r="18" spans="2:12" x14ac:dyDescent="0.2">
      <c r="B18" s="325" t="s">
        <v>24</v>
      </c>
      <c r="C18" s="326">
        <f ca="1">Summary_Individual!D14</f>
        <v>1.0444732461834803</v>
      </c>
      <c r="D18" s="299">
        <f ca="1">Summary_Individual!F14</f>
        <v>0.75249439094147941</v>
      </c>
      <c r="E18" s="299">
        <f ca="1">Summary_Individual!N14</f>
        <v>2.2696309412394333</v>
      </c>
      <c r="F18" s="299">
        <f ca="1">Summary_Individual!R14</f>
        <v>3.4131281692238395E-6</v>
      </c>
      <c r="G18" s="300">
        <f>Summary_Individual!J14</f>
        <v>6.2387764525430525</v>
      </c>
      <c r="H18" s="300">
        <f ca="1">Summary_Individual!L14</f>
        <v>8.0575187156266317</v>
      </c>
      <c r="I18" s="362">
        <f ca="1">Summary_Individual!AB14</f>
        <v>5425.4901790897256</v>
      </c>
      <c r="J18" s="300">
        <f ca="1">Summary_Individual!H14</f>
        <v>0.64832402616131068</v>
      </c>
      <c r="K18" s="300">
        <f ca="1">Summary_Individual!T14</f>
        <v>3.6132875628984935E-2</v>
      </c>
      <c r="L18" s="327">
        <f ca="1">Summary_Individual!P14</f>
        <v>0.14816780608819019</v>
      </c>
    </row>
    <row r="19" spans="2:12" x14ac:dyDescent="0.2">
      <c r="B19" s="325" t="s">
        <v>27</v>
      </c>
      <c r="C19" s="326">
        <f ca="1">Summary_Individual!D17</f>
        <v>1.0540130185369105</v>
      </c>
      <c r="D19" s="299">
        <f ca="1">Summary_Individual!F17</f>
        <v>0.75971367840597659</v>
      </c>
      <c r="E19" s="329">
        <f ca="1">Summary_Individual!N17</f>
        <v>2.2785342392416021</v>
      </c>
      <c r="F19" s="299">
        <f ca="1">Summary_Individual!R17</f>
        <v>3.3477701134930679E-6</v>
      </c>
      <c r="G19" s="300">
        <f>Summary_Individual!J17</f>
        <v>6.1573588412161682</v>
      </c>
      <c r="H19" s="300">
        <f ca="1">Summary_Individual!L17</f>
        <v>8.1308968930236869</v>
      </c>
      <c r="I19" s="362">
        <f ca="1">Summary_Individual!AB17</f>
        <v>5463.4439249560455</v>
      </c>
      <c r="J19" s="300">
        <f ca="1">Summary_Individual!H17</f>
        <v>0.65432221036263516</v>
      </c>
      <c r="K19" s="300">
        <f ca="1">Summary_Individual!T17</f>
        <v>3.5882080537610467E-2</v>
      </c>
      <c r="L19" s="327">
        <f ca="1">Summary_Individual!P17</f>
        <v>0.14874561430329986</v>
      </c>
    </row>
    <row r="20" spans="2:12" ht="13.5" thickBot="1" x14ac:dyDescent="0.25">
      <c r="B20" s="328" t="s">
        <v>73</v>
      </c>
      <c r="C20" s="308">
        <f ca="1">SUM(C18:C19)</f>
        <v>2.0984862647203908</v>
      </c>
      <c r="D20" s="309">
        <f t="shared" ref="D20:L20" ca="1" si="0">SUM(D18:D19)</f>
        <v>1.512208069347456</v>
      </c>
      <c r="E20" s="310">
        <f t="shared" ca="1" si="0"/>
        <v>4.5481651804810355</v>
      </c>
      <c r="F20" s="309">
        <f t="shared" ca="1" si="0"/>
        <v>6.7608982827169069E-6</v>
      </c>
      <c r="G20" s="311">
        <f t="shared" si="0"/>
        <v>12.396135293759221</v>
      </c>
      <c r="H20" s="311">
        <f t="shared" ca="1" si="0"/>
        <v>16.188415608650317</v>
      </c>
      <c r="I20" s="363">
        <f t="shared" ca="1" si="0"/>
        <v>10888.934104045771</v>
      </c>
      <c r="J20" s="311">
        <f t="shared" ca="1" si="0"/>
        <v>1.302646236523946</v>
      </c>
      <c r="K20" s="311">
        <f t="shared" ca="1" si="0"/>
        <v>7.2014956166595395E-2</v>
      </c>
      <c r="L20" s="312">
        <f t="shared" ca="1" si="0"/>
        <v>0.29691342039149005</v>
      </c>
    </row>
    <row r="21" spans="2:12" ht="13.5" thickBot="1" x14ac:dyDescent="0.25">
      <c r="C21" s="333"/>
      <c r="D21" s="333"/>
      <c r="E21" s="333"/>
      <c r="F21" s="333"/>
      <c r="G21" s="333"/>
      <c r="H21" s="333"/>
      <c r="I21" s="333"/>
      <c r="J21" s="333"/>
      <c r="K21" s="333"/>
      <c r="L21" s="333"/>
    </row>
    <row r="22" spans="2:12" ht="27" x14ac:dyDescent="0.3">
      <c r="B22" s="330" t="s">
        <v>63</v>
      </c>
      <c r="C22" s="321" t="s">
        <v>64</v>
      </c>
      <c r="D22" s="322" t="s">
        <v>65</v>
      </c>
      <c r="E22" s="322" t="s">
        <v>48</v>
      </c>
      <c r="F22" s="322" t="s">
        <v>66</v>
      </c>
      <c r="G22" s="322" t="s">
        <v>67</v>
      </c>
      <c r="H22" s="322" t="s">
        <v>47</v>
      </c>
      <c r="I22" s="322" t="s">
        <v>68</v>
      </c>
      <c r="J22" s="322" t="s">
        <v>69</v>
      </c>
      <c r="K22" s="322" t="s">
        <v>70</v>
      </c>
      <c r="L22" s="324" t="s">
        <v>71</v>
      </c>
    </row>
    <row r="23" spans="2:12" x14ac:dyDescent="0.2">
      <c r="B23" s="334" t="s">
        <v>74</v>
      </c>
      <c r="C23" s="514">
        <f t="shared" ref="C23:L23" ca="1" si="1">C14-C20</f>
        <v>2.4909498752493722</v>
      </c>
      <c r="D23" s="515">
        <f t="shared" ca="1" si="1"/>
        <v>4.7657045577584869</v>
      </c>
      <c r="E23" s="515">
        <f t="shared" ca="1" si="1"/>
        <v>10.946182535268161</v>
      </c>
      <c r="F23" s="515">
        <f t="shared" ca="1" si="1"/>
        <v>-6.7608982827169069E-6</v>
      </c>
      <c r="G23" s="516">
        <f t="shared" si="1"/>
        <v>39.972379497974011</v>
      </c>
      <c r="H23" s="537">
        <f t="shared" ca="1" si="1"/>
        <v>-0.7984156086503198</v>
      </c>
      <c r="I23" s="517">
        <f t="shared" ca="1" si="1"/>
        <v>41747.455728746158</v>
      </c>
      <c r="J23" s="516">
        <f t="shared" ca="1" si="1"/>
        <v>4.1816495252312063</v>
      </c>
      <c r="K23" s="516">
        <f t="shared" ca="1" si="1"/>
        <v>0.41856604116128893</v>
      </c>
      <c r="L23" s="518">
        <f t="shared" ca="1" si="1"/>
        <v>1.2263548397155863</v>
      </c>
    </row>
    <row r="24" spans="2:12" x14ac:dyDescent="0.2">
      <c r="B24" s="331" t="s">
        <v>75</v>
      </c>
      <c r="C24" s="326">
        <v>25</v>
      </c>
      <c r="D24" s="299">
        <v>15</v>
      </c>
      <c r="E24" s="329">
        <v>100</v>
      </c>
      <c r="F24" s="299">
        <v>0.6</v>
      </c>
      <c r="G24" s="300">
        <v>40</v>
      </c>
      <c r="H24" s="300">
        <v>40</v>
      </c>
      <c r="I24" s="364">
        <v>75000</v>
      </c>
      <c r="J24" s="300">
        <v>10</v>
      </c>
      <c r="K24" s="300">
        <v>40</v>
      </c>
      <c r="L24" s="327">
        <v>40</v>
      </c>
    </row>
    <row r="25" spans="2:12" ht="13.5" thickBot="1" x14ac:dyDescent="0.25">
      <c r="B25" s="308" t="s">
        <v>76</v>
      </c>
      <c r="C25" s="308" t="str">
        <f ca="1">IF(C23&lt;C24,"NO","YES")</f>
        <v>NO</v>
      </c>
      <c r="D25" s="309" t="str">
        <f t="shared" ref="D25:F25" ca="1" si="2">IF(D23&lt;D24,"NO","YES")</f>
        <v>NO</v>
      </c>
      <c r="E25" s="310" t="str">
        <f t="shared" ca="1" si="2"/>
        <v>NO</v>
      </c>
      <c r="F25" s="309" t="str">
        <f t="shared" ca="1" si="2"/>
        <v>NO</v>
      </c>
      <c r="G25" s="311" t="str">
        <f>IF(G23&lt;G24,"NO","YES")</f>
        <v>NO</v>
      </c>
      <c r="H25" s="311" t="str">
        <f t="shared" ref="H25" ca="1" si="3">IF(H23&lt;H24,"NO","YES")</f>
        <v>NO</v>
      </c>
      <c r="I25" s="311" t="str">
        <f ca="1">IF(I23&lt;I24,"NO","YES")</f>
        <v>NO</v>
      </c>
      <c r="J25" s="311" t="str">
        <f t="shared" ref="J25" ca="1" si="4">IF(J23&lt;J24,"NO","YES")</f>
        <v>NO</v>
      </c>
      <c r="K25" s="311" t="str">
        <f t="shared" ref="K25" ca="1" si="5">IF(K23&lt;K24,"NO","YES")</f>
        <v>NO</v>
      </c>
      <c r="L25" s="312" t="str">
        <f t="shared" ref="L25" ca="1" si="6">IF(L23&lt;L24,"NO","YES")</f>
        <v>NO</v>
      </c>
    </row>
    <row r="26" spans="2:12" ht="39.75" customHeight="1" x14ac:dyDescent="0.2">
      <c r="B26" s="566" t="s">
        <v>77</v>
      </c>
      <c r="C26" s="566"/>
      <c r="D26" s="566"/>
      <c r="E26" s="566"/>
      <c r="F26" s="566"/>
      <c r="G26" s="566"/>
      <c r="H26" s="566"/>
      <c r="I26" s="566"/>
      <c r="J26" s="566"/>
      <c r="K26" s="566"/>
      <c r="L26" s="566"/>
    </row>
    <row r="28" spans="2:12" x14ac:dyDescent="0.2">
      <c r="B28" s="335"/>
    </row>
    <row r="32" spans="2:12" x14ac:dyDescent="0.2">
      <c r="B32" s="335"/>
    </row>
    <row r="34" spans="3:3" x14ac:dyDescent="0.2">
      <c r="C34" s="336"/>
    </row>
    <row r="35" spans="3:3" x14ac:dyDescent="0.2">
      <c r="C35" s="336"/>
    </row>
    <row r="36" spans="3:3" x14ac:dyDescent="0.2">
      <c r="C36" s="332"/>
    </row>
    <row r="37" spans="3:3" x14ac:dyDescent="0.2">
      <c r="C37" s="337"/>
    </row>
    <row r="38" spans="3:3" x14ac:dyDescent="0.2">
      <c r="C38" s="337"/>
    </row>
  </sheetData>
  <mergeCells count="3">
    <mergeCell ref="C12:L12"/>
    <mergeCell ref="C16:L16"/>
    <mergeCell ref="B26:L26"/>
  </mergeCells>
  <pageMargins left="0.7" right="0.7" top="0.75" bottom="0.75" header="0.3" footer="0.3"/>
  <pageSetup scale="6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ECE26-3BA0-41AC-889C-754D67456A1B}">
  <sheetPr>
    <tabColor theme="0"/>
  </sheetPr>
  <dimension ref="B1:AQ37"/>
  <sheetViews>
    <sheetView view="pageBreakPreview" zoomScale="80" zoomScaleNormal="100" zoomScaleSheetLayoutView="80" workbookViewId="0">
      <selection activeCell="J40" sqref="J40:J41"/>
    </sheetView>
  </sheetViews>
  <sheetFormatPr defaultColWidth="9.28515625" defaultRowHeight="13.5" x14ac:dyDescent="0.25"/>
  <cols>
    <col min="1" max="1" width="9.28515625" style="203"/>
    <col min="2" max="2" width="0" style="203" hidden="1" customWidth="1"/>
    <col min="3" max="3" width="37.7109375" style="203" bestFit="1" customWidth="1"/>
    <col min="4" max="43" width="12" style="203" customWidth="1"/>
    <col min="44" max="67" width="15.7109375" style="203" customWidth="1"/>
    <col min="68" max="16384" width="9.28515625" style="203"/>
  </cols>
  <sheetData>
    <row r="1" spans="2:43" s="18" customFormat="1" ht="12.75" x14ac:dyDescent="0.2">
      <c r="G1" s="19"/>
      <c r="H1" s="19"/>
      <c r="I1" s="19"/>
    </row>
    <row r="2" spans="2:43" s="18" customFormat="1" ht="12.75" x14ac:dyDescent="0.2">
      <c r="C2" s="28"/>
      <c r="G2" s="19"/>
      <c r="H2" s="19"/>
      <c r="I2" s="19"/>
    </row>
    <row r="3" spans="2:43" s="18" customFormat="1" ht="12.75" x14ac:dyDescent="0.2">
      <c r="C3" s="28"/>
      <c r="G3" s="19"/>
      <c r="H3" s="19"/>
      <c r="I3" s="19"/>
    </row>
    <row r="4" spans="2:43" s="18" customFormat="1" ht="12.75" x14ac:dyDescent="0.2">
      <c r="G4" s="19"/>
      <c r="H4" s="19"/>
      <c r="I4" s="19"/>
    </row>
    <row r="5" spans="2:43" s="202" customFormat="1" ht="15" customHeight="1" x14ac:dyDescent="0.25">
      <c r="C5" s="204" t="s">
        <v>0</v>
      </c>
      <c r="D5" s="137" t="s">
        <v>1</v>
      </c>
      <c r="E5" s="205"/>
      <c r="I5" s="205"/>
      <c r="J5" s="205"/>
      <c r="K5" s="205" t="s">
        <v>78</v>
      </c>
      <c r="L5" s="205"/>
      <c r="M5" s="205"/>
      <c r="N5" s="205"/>
      <c r="O5" s="205"/>
      <c r="P5" s="205"/>
      <c r="Q5" s="205"/>
      <c r="R5" s="205"/>
      <c r="S5" s="205"/>
      <c r="T5" s="205"/>
      <c r="U5" s="205"/>
      <c r="V5" s="205"/>
      <c r="W5" s="205"/>
      <c r="X5" s="205"/>
      <c r="Y5" s="205"/>
      <c r="Z5" s="205"/>
      <c r="AA5" s="205"/>
      <c r="AB5" s="205"/>
      <c r="AC5" s="205"/>
      <c r="AD5" s="205"/>
      <c r="AE5" s="205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</row>
    <row r="6" spans="2:43" s="202" customFormat="1" ht="15" customHeight="1" x14ac:dyDescent="0.25">
      <c r="C6" s="204" t="s">
        <v>79</v>
      </c>
      <c r="D6" s="137" t="s">
        <v>4</v>
      </c>
      <c r="E6" s="205"/>
      <c r="F6" s="206"/>
      <c r="I6" s="205"/>
      <c r="J6" s="205"/>
      <c r="K6" s="205"/>
      <c r="L6" s="205"/>
      <c r="M6" s="205"/>
      <c r="N6" s="205"/>
      <c r="O6" s="205"/>
      <c r="P6" s="205"/>
      <c r="Q6" s="205"/>
      <c r="R6" s="205"/>
      <c r="S6" s="205"/>
      <c r="T6" s="205"/>
      <c r="U6" s="205"/>
      <c r="V6" s="205"/>
      <c r="W6" s="205"/>
      <c r="X6" s="205"/>
      <c r="Y6" s="205"/>
      <c r="Z6" s="205"/>
      <c r="AA6" s="205"/>
      <c r="AB6" s="205"/>
      <c r="AC6" s="205"/>
      <c r="AD6" s="205"/>
      <c r="AE6" s="205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</row>
    <row r="7" spans="2:43" s="202" customFormat="1" ht="15" customHeight="1" x14ac:dyDescent="0.25">
      <c r="C7" s="204" t="s">
        <v>80</v>
      </c>
      <c r="D7" s="137" t="s">
        <v>6</v>
      </c>
      <c r="E7" s="205"/>
      <c r="F7" s="207"/>
      <c r="G7" s="207"/>
      <c r="H7" s="207"/>
      <c r="I7" s="205"/>
      <c r="J7" s="205"/>
      <c r="K7" s="205"/>
      <c r="L7" s="205"/>
      <c r="M7" s="205"/>
      <c r="N7" s="205"/>
      <c r="O7" s="205"/>
      <c r="P7" s="205"/>
      <c r="Q7" s="205"/>
      <c r="R7" s="205"/>
      <c r="S7" s="205"/>
      <c r="T7" s="205"/>
      <c r="U7" s="205"/>
      <c r="V7" s="205"/>
      <c r="W7" s="205"/>
      <c r="X7" s="205"/>
      <c r="Y7" s="205"/>
      <c r="Z7" s="205"/>
      <c r="AA7" s="205"/>
      <c r="AB7" s="205"/>
      <c r="AC7" s="205"/>
      <c r="AD7" s="205"/>
      <c r="AE7" s="205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</row>
    <row r="8" spans="2:43" s="202" customFormat="1" ht="15" customHeight="1" x14ac:dyDescent="0.25">
      <c r="C8" s="204"/>
      <c r="D8" s="484"/>
      <c r="E8" s="486"/>
      <c r="F8" s="487"/>
      <c r="G8" s="487"/>
      <c r="H8" s="487"/>
      <c r="I8" s="486"/>
      <c r="J8" s="486"/>
      <c r="K8" s="486"/>
      <c r="L8" s="486"/>
      <c r="M8" s="486"/>
      <c r="N8" s="486"/>
      <c r="O8" s="486"/>
      <c r="P8" s="486"/>
      <c r="Q8" s="486"/>
      <c r="R8" s="486"/>
      <c r="S8" s="486"/>
      <c r="T8" s="486"/>
      <c r="U8" s="486"/>
      <c r="V8" s="486"/>
      <c r="W8" s="486"/>
      <c r="X8" s="486"/>
      <c r="Y8" s="486"/>
      <c r="Z8" s="486"/>
      <c r="AA8" s="486"/>
      <c r="AB8" s="486"/>
      <c r="AC8" s="486"/>
      <c r="AD8" s="205"/>
      <c r="AE8" s="205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</row>
    <row r="9" spans="2:43" s="21" customFormat="1" x14ac:dyDescent="0.25">
      <c r="C9" s="208" t="str">
        <f ca="1">CONCATENATE("TABLE ",_xlfn.SHEET()-1,". Boiler Project Emissions Summary")</f>
        <v>TABLE 3. Boiler Project Emissions Summary</v>
      </c>
      <c r="D9" s="489" t="s">
        <v>64</v>
      </c>
      <c r="E9" s="490"/>
      <c r="F9" s="488" t="s">
        <v>65</v>
      </c>
      <c r="G9" s="488"/>
      <c r="H9" s="488" t="str">
        <f>$H$12</f>
        <v>PM2.5</v>
      </c>
      <c r="I9" s="488"/>
      <c r="J9" s="488" t="str">
        <f>$J$12</f>
        <v>SO2</v>
      </c>
      <c r="K9" s="488"/>
      <c r="L9" s="488" t="str">
        <f>$L$12</f>
        <v>NOx</v>
      </c>
      <c r="M9" s="488"/>
      <c r="N9" s="488" t="s">
        <v>48</v>
      </c>
      <c r="O9" s="488"/>
      <c r="P9" s="488" t="str">
        <f>$P$12</f>
        <v>VOC</v>
      </c>
      <c r="Q9" s="488"/>
      <c r="R9" s="488" t="s">
        <v>66</v>
      </c>
      <c r="S9" s="488"/>
      <c r="T9" s="488" t="str">
        <f>$T$12</f>
        <v>NH3</v>
      </c>
      <c r="U9" s="488"/>
      <c r="V9" s="488" t="str">
        <f>$V$12</f>
        <v>CO2</v>
      </c>
      <c r="W9" s="488"/>
      <c r="X9" s="488" t="str">
        <f>$X$12</f>
        <v>CH4</v>
      </c>
      <c r="Y9" s="488"/>
      <c r="Z9" s="488" t="str">
        <f>$Z$12</f>
        <v>N2O</v>
      </c>
      <c r="AA9" s="488"/>
      <c r="AB9" s="488" t="str">
        <f>$AB$12</f>
        <v>CO2e</v>
      </c>
      <c r="AC9" s="48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</row>
    <row r="10" spans="2:43" ht="14.25" thickBot="1" x14ac:dyDescent="0.3">
      <c r="D10" s="485"/>
      <c r="E10" s="485" t="s">
        <v>64</v>
      </c>
      <c r="F10" s="485"/>
      <c r="G10" s="485" t="s">
        <v>65</v>
      </c>
      <c r="H10" s="485"/>
      <c r="I10" s="491" t="str">
        <f>$H$12</f>
        <v>PM2.5</v>
      </c>
      <c r="J10" s="485"/>
      <c r="K10" s="491" t="str">
        <f>$J$12</f>
        <v>SO2</v>
      </c>
      <c r="L10" s="485"/>
      <c r="M10" s="488" t="str">
        <f>$L$12</f>
        <v>NOx</v>
      </c>
      <c r="N10" s="485"/>
      <c r="O10" s="485" t="s">
        <v>48</v>
      </c>
      <c r="P10" s="485"/>
      <c r="Q10" s="491" t="str">
        <f>$P$12</f>
        <v>VOC</v>
      </c>
      <c r="R10" s="485"/>
      <c r="S10" s="485" t="s">
        <v>66</v>
      </c>
      <c r="T10" s="485"/>
      <c r="U10" s="491" t="str">
        <f>$T$12</f>
        <v>NH3</v>
      </c>
      <c r="V10" s="485"/>
      <c r="W10" s="488" t="str">
        <f>$V$12</f>
        <v>CO2</v>
      </c>
      <c r="X10" s="485"/>
      <c r="Y10" s="488" t="str">
        <f>$X$12</f>
        <v>CH4</v>
      </c>
      <c r="Z10" s="485"/>
      <c r="AA10" s="488" t="str">
        <f>$Z$12</f>
        <v>N2O</v>
      </c>
      <c r="AB10" s="485"/>
      <c r="AC10" s="488" t="str">
        <f>$AB$12</f>
        <v>CO2e</v>
      </c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</row>
    <row r="11" spans="2:43" ht="40.5" hidden="1" customHeight="1" thickBot="1" x14ac:dyDescent="0.3">
      <c r="D11" s="567">
        <f>'Key Inputs'!$C$65</f>
        <v>44805</v>
      </c>
      <c r="E11" s="568"/>
      <c r="F11" s="567">
        <f>$D$11</f>
        <v>44805</v>
      </c>
      <c r="G11" s="568"/>
      <c r="H11" s="569">
        <f t="shared" ref="H11" si="0">$D$11</f>
        <v>44805</v>
      </c>
      <c r="I11" s="570"/>
      <c r="J11" s="567">
        <f t="shared" ref="J11" si="1">$D$11</f>
        <v>44805</v>
      </c>
      <c r="K11" s="568"/>
      <c r="L11" s="569">
        <f t="shared" ref="L11" si="2">$D$11</f>
        <v>44805</v>
      </c>
      <c r="M11" s="570"/>
      <c r="N11" s="567">
        <f t="shared" ref="N11" si="3">$D$11</f>
        <v>44805</v>
      </c>
      <c r="O11" s="568"/>
      <c r="P11" s="569">
        <f t="shared" ref="P11" si="4">$D$11</f>
        <v>44805</v>
      </c>
      <c r="Q11" s="570"/>
      <c r="R11" s="567">
        <f t="shared" ref="R11" si="5">$D$11</f>
        <v>44805</v>
      </c>
      <c r="S11" s="568"/>
      <c r="T11" s="567">
        <f t="shared" ref="T11" si="6">$D$11</f>
        <v>44805</v>
      </c>
      <c r="U11" s="568"/>
      <c r="V11" s="567">
        <f t="shared" ref="V11:Z11" si="7">$D$11</f>
        <v>44805</v>
      </c>
      <c r="W11" s="568"/>
      <c r="X11" s="567">
        <f t="shared" si="7"/>
        <v>44805</v>
      </c>
      <c r="Y11" s="568"/>
      <c r="Z11" s="569">
        <f t="shared" si="7"/>
        <v>44805</v>
      </c>
      <c r="AA11" s="570"/>
      <c r="AB11" s="567">
        <f t="shared" ref="AB11" si="8">$D$11</f>
        <v>44805</v>
      </c>
      <c r="AC11" s="56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</row>
    <row r="12" spans="2:43" ht="27.75" customHeight="1" thickBot="1" x14ac:dyDescent="0.3">
      <c r="B12" s="203" t="s">
        <v>81</v>
      </c>
      <c r="D12" s="571" t="s">
        <v>64</v>
      </c>
      <c r="E12" s="572"/>
      <c r="F12" s="571" t="s">
        <v>82</v>
      </c>
      <c r="G12" s="572"/>
      <c r="H12" s="573" t="s">
        <v>83</v>
      </c>
      <c r="I12" s="574"/>
      <c r="J12" s="571" t="s">
        <v>84</v>
      </c>
      <c r="K12" s="572"/>
      <c r="L12" s="573" t="s">
        <v>85</v>
      </c>
      <c r="M12" s="574"/>
      <c r="N12" s="571" t="s">
        <v>48</v>
      </c>
      <c r="O12" s="572"/>
      <c r="P12" s="573" t="s">
        <v>71</v>
      </c>
      <c r="Q12" s="574"/>
      <c r="R12" s="571" t="s">
        <v>66</v>
      </c>
      <c r="S12" s="572"/>
      <c r="T12" s="571" t="s">
        <v>86</v>
      </c>
      <c r="U12" s="572"/>
      <c r="V12" s="571" t="s">
        <v>87</v>
      </c>
      <c r="W12" s="572"/>
      <c r="X12" s="571" t="s">
        <v>88</v>
      </c>
      <c r="Y12" s="572"/>
      <c r="Z12" s="573" t="s">
        <v>89</v>
      </c>
      <c r="AA12" s="574"/>
      <c r="AB12" s="571" t="s">
        <v>90</v>
      </c>
      <c r="AC12" s="572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</row>
    <row r="13" spans="2:43" ht="14.25" thickBot="1" x14ac:dyDescent="0.3">
      <c r="C13" s="209" t="s">
        <v>91</v>
      </c>
      <c r="D13" s="210" t="s">
        <v>92</v>
      </c>
      <c r="E13" s="212" t="s">
        <v>93</v>
      </c>
      <c r="F13" s="210" t="s">
        <v>92</v>
      </c>
      <c r="G13" s="212" t="s">
        <v>93</v>
      </c>
      <c r="H13" s="211" t="s">
        <v>92</v>
      </c>
      <c r="I13" s="213" t="s">
        <v>93</v>
      </c>
      <c r="J13" s="210" t="s">
        <v>92</v>
      </c>
      <c r="K13" s="212" t="s">
        <v>93</v>
      </c>
      <c r="L13" s="211" t="s">
        <v>92</v>
      </c>
      <c r="M13" s="213" t="s">
        <v>93</v>
      </c>
      <c r="N13" s="210" t="s">
        <v>92</v>
      </c>
      <c r="O13" s="212" t="s">
        <v>93</v>
      </c>
      <c r="P13" s="211" t="s">
        <v>92</v>
      </c>
      <c r="Q13" s="213" t="s">
        <v>93</v>
      </c>
      <c r="R13" s="210" t="s">
        <v>92</v>
      </c>
      <c r="S13" s="212" t="s">
        <v>93</v>
      </c>
      <c r="T13" s="279" t="s">
        <v>92</v>
      </c>
      <c r="U13" s="281" t="s">
        <v>93</v>
      </c>
      <c r="V13" s="279" t="s">
        <v>92</v>
      </c>
      <c r="W13" s="281" t="s">
        <v>93</v>
      </c>
      <c r="X13" s="279" t="s">
        <v>92</v>
      </c>
      <c r="Y13" s="281" t="s">
        <v>93</v>
      </c>
      <c r="Z13" s="280" t="s">
        <v>92</v>
      </c>
      <c r="AA13" s="282" t="s">
        <v>93</v>
      </c>
      <c r="AB13" s="279" t="s">
        <v>92</v>
      </c>
      <c r="AC13" s="281" t="s">
        <v>93</v>
      </c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</row>
    <row r="14" spans="2:43" x14ac:dyDescent="0.25">
      <c r="B14" s="218"/>
      <c r="C14" s="270" t="s">
        <v>24</v>
      </c>
      <c r="D14" s="271">
        <f t="shared" ref="D14" ca="1" si="9">SUM(D15:D16)</f>
        <v>1.0444732461834803</v>
      </c>
      <c r="E14" s="272">
        <f t="shared" ref="E14" si="10">SUM(E15:E16)</f>
        <v>0</v>
      </c>
      <c r="F14" s="271">
        <f t="shared" ref="F14" ca="1" si="11">SUM(F15:F16)</f>
        <v>0.75249439094147941</v>
      </c>
      <c r="G14" s="272">
        <f t="shared" ref="G14" si="12">SUM(G15:G16)</f>
        <v>0</v>
      </c>
      <c r="H14" s="273">
        <f t="shared" ref="H14" ca="1" si="13">SUM(H15:H16)</f>
        <v>0.64832402616131068</v>
      </c>
      <c r="I14" s="274">
        <f t="shared" ref="I14" si="14">SUM(I15:I16)</f>
        <v>0</v>
      </c>
      <c r="J14" s="271">
        <f t="shared" ref="J14" si="15">SUM(J15:J16)</f>
        <v>6.2387764525430525</v>
      </c>
      <c r="K14" s="272">
        <f t="shared" ref="K14" si="16">SUM(K15:K16)</f>
        <v>0</v>
      </c>
      <c r="L14" s="273">
        <f t="shared" ref="L14" ca="1" si="17">SUM(L15:L16)</f>
        <v>8.0575187156266317</v>
      </c>
      <c r="M14" s="274">
        <f t="shared" ref="M14" si="18">SUM(M15:M16)</f>
        <v>0</v>
      </c>
      <c r="N14" s="271">
        <f t="shared" ref="N14" ca="1" si="19">SUM(N15:N16)</f>
        <v>2.2696309412394333</v>
      </c>
      <c r="O14" s="272">
        <f t="shared" ref="O14" si="20">SUM(O15:O16)</f>
        <v>0</v>
      </c>
      <c r="P14" s="273">
        <f t="shared" ref="P14" ca="1" si="21">SUM(P15:P16)</f>
        <v>0.14816780608819019</v>
      </c>
      <c r="Q14" s="274">
        <f t="shared" ref="Q14" si="22">SUM(Q15:Q16)</f>
        <v>0</v>
      </c>
      <c r="R14" s="271">
        <f t="shared" ref="R14" ca="1" si="23">SUM(R15:R16)</f>
        <v>3.4131281692238395E-6</v>
      </c>
      <c r="S14" s="272">
        <f t="shared" ref="S14" si="24">SUM(S15:S16)</f>
        <v>0</v>
      </c>
      <c r="T14" s="271">
        <f t="shared" ref="T14" ca="1" si="25">SUM(T15:T16)</f>
        <v>3.6132875628984935E-2</v>
      </c>
      <c r="U14" s="272">
        <f t="shared" ref="U14" si="26">SUM(U15:U16)</f>
        <v>0</v>
      </c>
      <c r="V14" s="271">
        <f t="shared" ref="V14" ca="1" si="27">SUM(V15:V16)</f>
        <v>5420.9437141644485</v>
      </c>
      <c r="W14" s="272">
        <f t="shared" ref="W14" si="28">SUM(W15:W16)</f>
        <v>0</v>
      </c>
      <c r="X14" s="271">
        <f t="shared" ref="X14" ca="1" si="29">SUM(X15:X16)</f>
        <v>6.2705723804828417E-2</v>
      </c>
      <c r="Y14" s="272">
        <f t="shared" ref="Y14" si="30">SUM(Y15:Y16)</f>
        <v>0</v>
      </c>
      <c r="Z14" s="273">
        <f t="shared" ref="Z14" ca="1" si="31">SUM(Z15:Z16)</f>
        <v>1.0530960976386283E-2</v>
      </c>
      <c r="AA14" s="272">
        <f t="shared" ref="AA14" si="32">SUM(AA15:AA16)</f>
        <v>0</v>
      </c>
      <c r="AB14" s="271">
        <f t="shared" ref="AB14" ca="1" si="33">SUM(AB15:AB16)</f>
        <v>5425.4901790897256</v>
      </c>
      <c r="AC14" s="272">
        <f t="shared" ref="AC14" si="34">SUM(AC15:AC16)</f>
        <v>0</v>
      </c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</row>
    <row r="15" spans="2:43" x14ac:dyDescent="0.25">
      <c r="B15" s="218" t="s">
        <v>94</v>
      </c>
      <c r="C15" s="219" t="s">
        <v>95</v>
      </c>
      <c r="D15" s="220">
        <f ca="1">'PM Simple'!I48</f>
        <v>8.7580868822283692E-2</v>
      </c>
      <c r="E15" s="550">
        <v>0</v>
      </c>
      <c r="F15" s="220">
        <f ca="1">'PM10 Simple'!I48</f>
        <v>5.1879548172202347E-2</v>
      </c>
      <c r="G15" s="550">
        <v>0</v>
      </c>
      <c r="H15" s="275">
        <f ca="1">'PM2.5 Simple'!I48</f>
        <v>5.1879548172202347E-2</v>
      </c>
      <c r="I15" s="550">
        <v>0</v>
      </c>
      <c r="J15" s="220">
        <f>'SOx Simple'!I48</f>
        <v>4.095753803068607E-3</v>
      </c>
      <c r="K15" s="550">
        <v>0</v>
      </c>
      <c r="L15" s="275">
        <f ca="1">'NOx Simple'!I48</f>
        <v>0.68262563384476771</v>
      </c>
      <c r="M15" s="550">
        <v>0</v>
      </c>
      <c r="N15" s="220">
        <f ca="1">'CO Simple'!I48</f>
        <v>0.57340553242960501</v>
      </c>
      <c r="O15" s="550">
        <v>0</v>
      </c>
      <c r="P15" s="275">
        <f ca="1">'VOC Simple'!I48</f>
        <v>3.7544409861462236E-2</v>
      </c>
      <c r="Q15" s="550">
        <v>0</v>
      </c>
      <c r="R15" s="220">
        <f ca="1">'Lead Simple'!I48</f>
        <v>3.4131281692238395E-6</v>
      </c>
      <c r="S15" s="550">
        <v>0</v>
      </c>
      <c r="T15" s="220">
        <f ca="1">'Ammonia Simple'!I48</f>
        <v>2.1844020283032575E-2</v>
      </c>
      <c r="U15" s="550">
        <v>0</v>
      </c>
      <c r="V15" s="276">
        <f ca="1">'CO2 Simple'!I48</f>
        <v>830.07277075523746</v>
      </c>
      <c r="W15" s="550">
        <v>0</v>
      </c>
      <c r="X15" s="276">
        <f ca="1">'Methane Simple'!I48</f>
        <v>1.5644687326707922E-2</v>
      </c>
      <c r="Y15" s="550">
        <v>0</v>
      </c>
      <c r="Z15" s="277">
        <f ca="1">'N2O Simple'!I48</f>
        <v>7.2604062415729481E-4</v>
      </c>
      <c r="AA15" s="550">
        <v>0</v>
      </c>
      <c r="AB15" s="276">
        <f ca="1">V15+X15*28+Z15*265</f>
        <v>830.7032227657869</v>
      </c>
      <c r="AC15" s="550">
        <v>0</v>
      </c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</row>
    <row r="16" spans="2:43" x14ac:dyDescent="0.25">
      <c r="B16" s="218" t="s">
        <v>96</v>
      </c>
      <c r="C16" s="219" t="s">
        <v>97</v>
      </c>
      <c r="D16" s="220">
        <f ca="1">'PM Simple'!H48</f>
        <v>0.95689237736119659</v>
      </c>
      <c r="E16" s="550">
        <v>0</v>
      </c>
      <c r="F16" s="220">
        <f ca="1">'PM10 Simple'!H48</f>
        <v>0.7006148427692771</v>
      </c>
      <c r="G16" s="550">
        <v>0</v>
      </c>
      <c r="H16" s="275">
        <f ca="1">'PM2.5 Simple'!H48</f>
        <v>0.59644447798910838</v>
      </c>
      <c r="I16" s="550">
        <v>0</v>
      </c>
      <c r="J16" s="220">
        <f>'SOx Simple'!H48</f>
        <v>6.2346806987399841</v>
      </c>
      <c r="K16" s="550">
        <v>0</v>
      </c>
      <c r="L16" s="275">
        <f ca="1">'NOx Simple'!H48</f>
        <v>7.3748930817818641</v>
      </c>
      <c r="M16" s="550">
        <v>0</v>
      </c>
      <c r="N16" s="220">
        <f ca="1">'CO Simple'!H48</f>
        <v>1.6962254088098283</v>
      </c>
      <c r="O16" s="550">
        <v>0</v>
      </c>
      <c r="P16" s="275">
        <f ca="1">'VOC Simple'!H48</f>
        <v>0.11062339622672795</v>
      </c>
      <c r="Q16" s="550">
        <v>0</v>
      </c>
      <c r="R16" s="220">
        <f ca="1">'Lead Simple'!H48</f>
        <v>0</v>
      </c>
      <c r="S16" s="550">
        <v>0</v>
      </c>
      <c r="T16" s="220">
        <f ca="1">'Ammonia Simple'!H48</f>
        <v>1.428885534595236E-2</v>
      </c>
      <c r="U16" s="550">
        <v>0</v>
      </c>
      <c r="V16" s="276">
        <f ca="1">'CO2 Simple'!H48</f>
        <v>4590.8709434092107</v>
      </c>
      <c r="W16" s="550">
        <v>0</v>
      </c>
      <c r="X16" s="276">
        <f ca="1">'Methane Simple'!H48</f>
        <v>4.7061036478120502E-2</v>
      </c>
      <c r="Y16" s="550">
        <v>0</v>
      </c>
      <c r="Z16" s="277">
        <f ca="1">'N2O Simple'!H48</f>
        <v>9.804920352228989E-3</v>
      </c>
      <c r="AA16" s="550">
        <v>0</v>
      </c>
      <c r="AB16" s="276">
        <f ca="1">V16+X16*28+Z16*265</f>
        <v>4594.7869563239392</v>
      </c>
      <c r="AC16" s="550">
        <v>0</v>
      </c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</row>
    <row r="17" spans="2:43" x14ac:dyDescent="0.25">
      <c r="B17" s="218"/>
      <c r="C17" s="270" t="s">
        <v>27</v>
      </c>
      <c r="D17" s="271">
        <f t="shared" ref="D17" ca="1" si="35">SUM(D18:D19)</f>
        <v>1.0540130185369105</v>
      </c>
      <c r="E17" s="272">
        <f t="shared" ref="E17" si="36">SUM(E18:E19)</f>
        <v>0</v>
      </c>
      <c r="F17" s="271">
        <f t="shared" ref="F17" ca="1" si="37">SUM(F18:F19)</f>
        <v>0.75971367840597659</v>
      </c>
      <c r="G17" s="272">
        <f t="shared" ref="G17" si="38">SUM(G18:G19)</f>
        <v>0</v>
      </c>
      <c r="H17" s="273">
        <f t="shared" ref="H17" ca="1" si="39">SUM(H18:H19)</f>
        <v>0.65432221036263516</v>
      </c>
      <c r="I17" s="274">
        <f t="shared" ref="I17" si="40">SUM(I18:I19)</f>
        <v>0</v>
      </c>
      <c r="J17" s="271">
        <f t="shared" ref="J17" si="41">SUM(J18:J19)</f>
        <v>6.1573588412161682</v>
      </c>
      <c r="K17" s="272">
        <f t="shared" ref="K17" si="42">SUM(K18:K19)</f>
        <v>0</v>
      </c>
      <c r="L17" s="273">
        <f t="shared" ref="L17" ca="1" si="43">SUM(L18:L19)</f>
        <v>8.1308968930236869</v>
      </c>
      <c r="M17" s="274">
        <f t="shared" ref="M17" si="44">SUM(M18:M19)</f>
        <v>0</v>
      </c>
      <c r="N17" s="271">
        <f t="shared" ref="N17" ca="1" si="45">SUM(N18:N19)</f>
        <v>2.2785342392416021</v>
      </c>
      <c r="O17" s="272">
        <f t="shared" ref="O17" si="46">SUM(O18:O19)</f>
        <v>0</v>
      </c>
      <c r="P17" s="273">
        <f t="shared" ref="P17" ca="1" si="47">SUM(P18:P19)</f>
        <v>0.14874561430329986</v>
      </c>
      <c r="Q17" s="274">
        <f t="shared" ref="Q17" si="48">SUM(Q18:Q19)</f>
        <v>0</v>
      </c>
      <c r="R17" s="271">
        <f t="shared" ref="R17" ca="1" si="49">SUM(R18:R19)</f>
        <v>3.3477701134930679E-6</v>
      </c>
      <c r="S17" s="272">
        <f t="shared" ref="S17" si="50">SUM(S18:S19)</f>
        <v>0</v>
      </c>
      <c r="T17" s="271">
        <f t="shared" ref="T17" ca="1" si="51">SUM(T18:T19)</f>
        <v>3.5882080537610467E-2</v>
      </c>
      <c r="U17" s="272">
        <f t="shared" ref="U17" si="52">SUM(U18:U19)</f>
        <v>0</v>
      </c>
      <c r="V17" s="271">
        <f t="shared" ref="V17" ca="1" si="53">SUM(V18:V19)</f>
        <v>5458.8636283788737</v>
      </c>
      <c r="W17" s="272">
        <f t="shared" ref="W17" si="54">SUM(W18:W19)</f>
        <v>0</v>
      </c>
      <c r="X17" s="271">
        <f t="shared" ref="X17" ca="1" si="55">SUM(X18:X19)</f>
        <v>6.2957801105077774E-2</v>
      </c>
      <c r="Y17" s="272">
        <f t="shared" ref="Y17" si="56">SUM(Y18:Y19)</f>
        <v>0</v>
      </c>
      <c r="Z17" s="273">
        <f t="shared" ref="Z17" ca="1" si="57">SUM(Z18:Z19)</f>
        <v>1.0631993004639431E-2</v>
      </c>
      <c r="AA17" s="272">
        <f t="shared" ref="AA17" si="58">SUM(AA18:AA19)</f>
        <v>0</v>
      </c>
      <c r="AB17" s="271">
        <f t="shared" ref="AB17" ca="1" si="59">SUM(AB18:AB19)</f>
        <v>5463.4439249560455</v>
      </c>
      <c r="AC17" s="272">
        <f t="shared" ref="AC17" si="60">SUM(AC18:AC19)</f>
        <v>0</v>
      </c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</row>
    <row r="18" spans="2:43" x14ac:dyDescent="0.25">
      <c r="B18" s="218" t="s">
        <v>98</v>
      </c>
      <c r="C18" s="219" t="s">
        <v>95</v>
      </c>
      <c r="D18" s="220">
        <f ca="1">'PM Simple'!K48</f>
        <v>8.5903781112232097E-2</v>
      </c>
      <c r="E18" s="550">
        <v>0</v>
      </c>
      <c r="F18" s="220">
        <f ca="1">'PM10 Simple'!K48</f>
        <v>5.088610572509461E-2</v>
      </c>
      <c r="G18" s="550">
        <v>0</v>
      </c>
      <c r="H18" s="275">
        <f ca="1">'PM2.5 Simple'!K48</f>
        <v>5.088610572509461E-2</v>
      </c>
      <c r="I18" s="550">
        <v>0</v>
      </c>
      <c r="J18" s="220">
        <f>'SOx Simple'!K48</f>
        <v>4.0173241361916804E-3</v>
      </c>
      <c r="K18" s="550">
        <v>0</v>
      </c>
      <c r="L18" s="275">
        <f ca="1">'NOx Simple'!K48</f>
        <v>0.66955402269861353</v>
      </c>
      <c r="M18" s="550">
        <v>0</v>
      </c>
      <c r="N18" s="220">
        <f ca="1">'CO Simple'!K48</f>
        <v>0.56242537906683532</v>
      </c>
      <c r="O18" s="550">
        <v>0</v>
      </c>
      <c r="P18" s="275">
        <f ca="1">'VOC Simple'!K48</f>
        <v>3.6825471248423738E-2</v>
      </c>
      <c r="Q18" s="550">
        <v>0</v>
      </c>
      <c r="R18" s="220">
        <f ca="1">'Lead Simple'!K48</f>
        <v>3.3477701134930679E-6</v>
      </c>
      <c r="S18" s="550">
        <v>0</v>
      </c>
      <c r="T18" s="220">
        <f ca="1">'Ammonia Simple'!K48</f>
        <v>2.142572872635563E-2</v>
      </c>
      <c r="U18" s="550">
        <v>0</v>
      </c>
      <c r="V18" s="276">
        <f ca="1">'CO2 Simple'!K48</f>
        <v>814.17769160151386</v>
      </c>
      <c r="W18" s="550">
        <v>0</v>
      </c>
      <c r="X18" s="276">
        <f ca="1">'Methane Simple'!K48</f>
        <v>1.53451069138159E-2</v>
      </c>
      <c r="Y18" s="550">
        <v>0</v>
      </c>
      <c r="Z18" s="277">
        <f ca="1">'N2O Simple'!K48</f>
        <v>7.121376585422451E-4</v>
      </c>
      <c r="AA18" s="550">
        <v>0</v>
      </c>
      <c r="AB18" s="276">
        <f ca="1">V18+X18*28+Z18*265</f>
        <v>814.79607107461436</v>
      </c>
      <c r="AC18" s="550">
        <v>0</v>
      </c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</row>
    <row r="19" spans="2:43" x14ac:dyDescent="0.25">
      <c r="B19" s="218" t="s">
        <v>99</v>
      </c>
      <c r="C19" s="219" t="s">
        <v>97</v>
      </c>
      <c r="D19" s="220">
        <f ca="1">'PM Simple'!J48</f>
        <v>0.96810923742467836</v>
      </c>
      <c r="E19" s="550">
        <v>0</v>
      </c>
      <c r="F19" s="220">
        <f ca="1">'PM10 Simple'!J48</f>
        <v>0.70882757268088192</v>
      </c>
      <c r="G19" s="550">
        <v>0</v>
      </c>
      <c r="H19" s="275">
        <f ca="1">'PM2.5 Simple'!J48</f>
        <v>0.6034361046375406</v>
      </c>
      <c r="I19" s="550">
        <v>0</v>
      </c>
      <c r="J19" s="220">
        <f>'SOx Simple'!J48</f>
        <v>6.1533415170799763</v>
      </c>
      <c r="K19" s="550">
        <v>0</v>
      </c>
      <c r="L19" s="275">
        <f ca="1">'NOx Simple'!J48</f>
        <v>7.4613428703250735</v>
      </c>
      <c r="M19" s="550">
        <v>0</v>
      </c>
      <c r="N19" s="220">
        <f ca="1">'CO Simple'!J48</f>
        <v>1.7161088601747669</v>
      </c>
      <c r="O19" s="550">
        <v>0</v>
      </c>
      <c r="P19" s="275">
        <f ca="1">'VOC Simple'!J48</f>
        <v>0.11192014305487612</v>
      </c>
      <c r="Q19" s="550">
        <v>0</v>
      </c>
      <c r="R19" s="220">
        <f ca="1">'Lead Simple'!J48</f>
        <v>0</v>
      </c>
      <c r="S19" s="550">
        <v>0</v>
      </c>
      <c r="T19" s="220">
        <f ca="1">'Ammonia Simple'!J48</f>
        <v>1.4456351811254833E-2</v>
      </c>
      <c r="U19" s="550">
        <v>0</v>
      </c>
      <c r="V19" s="276">
        <f ca="1">'CO2 Simple'!J48</f>
        <v>4644.6859367773595</v>
      </c>
      <c r="W19" s="550">
        <v>0</v>
      </c>
      <c r="X19" s="276">
        <f ca="1">'Methane Simple'!J48</f>
        <v>4.7612694191261878E-2</v>
      </c>
      <c r="Y19" s="550">
        <v>0</v>
      </c>
      <c r="Z19" s="277">
        <f ca="1">'N2O Simple'!J48</f>
        <v>9.9198553460971856E-3</v>
      </c>
      <c r="AA19" s="550">
        <v>0</v>
      </c>
      <c r="AB19" s="276">
        <f ca="1">V19+X19*28+Z19*265</f>
        <v>4648.6478538814308</v>
      </c>
      <c r="AC19" s="550">
        <v>0</v>
      </c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</row>
    <row r="20" spans="2:43" x14ac:dyDescent="0.25">
      <c r="B20" s="218"/>
      <c r="C20" s="270" t="s">
        <v>100</v>
      </c>
      <c r="D20" s="271">
        <f>SUM(D21:D22)</f>
        <v>0</v>
      </c>
      <c r="E20" s="272">
        <f t="shared" ref="E20" si="61">SUM(E21:E22)</f>
        <v>4.589436139969763</v>
      </c>
      <c r="F20" s="271">
        <f t="shared" ref="F20" si="62">SUM(F21:F22)</f>
        <v>0</v>
      </c>
      <c r="G20" s="272">
        <f t="shared" ref="G20" si="63">SUM(G21:G22)</f>
        <v>6.2779126271059429</v>
      </c>
      <c r="H20" s="273">
        <f t="shared" ref="H20" si="64">SUM(H21:H22)</f>
        <v>0</v>
      </c>
      <c r="I20" s="274">
        <f t="shared" ref="I20" si="65">SUM(I21:I22)</f>
        <v>5.4842957617551518</v>
      </c>
      <c r="J20" s="271">
        <f t="shared" ref="J20" si="66">SUM(J21:J22)</f>
        <v>0</v>
      </c>
      <c r="K20" s="272">
        <f t="shared" ref="K20" si="67">SUM(K21:K22)</f>
        <v>52.368514791733233</v>
      </c>
      <c r="L20" s="273">
        <f t="shared" ref="L20" si="68">SUM(L21:L22)</f>
        <v>0</v>
      </c>
      <c r="M20" s="274">
        <f t="shared" ref="M20" si="69">SUM(M21:M22)</f>
        <v>15.389999999999997</v>
      </c>
      <c r="N20" s="271">
        <f t="shared" ref="N20" si="70">SUM(N21:N22)</f>
        <v>0</v>
      </c>
      <c r="O20" s="272">
        <f t="shared" ref="O20" si="71">SUM(O21:O22)</f>
        <v>15.494347715749196</v>
      </c>
      <c r="P20" s="273">
        <f t="shared" ref="P20" si="72">SUM(P21:P22)</f>
        <v>0</v>
      </c>
      <c r="Q20" s="274">
        <f t="shared" ref="Q20" si="73">SUM(Q21:Q22)</f>
        <v>1.5232682601070764</v>
      </c>
      <c r="R20" s="271">
        <f t="shared" ref="R20" si="74">SUM(R21:R22)</f>
        <v>0</v>
      </c>
      <c r="S20" s="272">
        <f t="shared" ref="S20" si="75">SUM(S21:S22)</f>
        <v>6.1862662550285331E-5</v>
      </c>
      <c r="T20" s="271">
        <f t="shared" ref="T20" si="76">SUM(T21:T22)</f>
        <v>0</v>
      </c>
      <c r="U20" s="272">
        <f t="shared" ref="U20" si="77">SUM(U21:U22)</f>
        <v>0.49058099732788435</v>
      </c>
      <c r="V20" s="271">
        <f t="shared" ref="V20" si="78">SUM(V21:V22)</f>
        <v>0</v>
      </c>
      <c r="W20" s="272">
        <f t="shared" ref="W20" si="79">SUM(W21:W22)</f>
        <v>52588.855826653329</v>
      </c>
      <c r="X20" s="271">
        <f t="shared" ref="X20" si="80">SUM(X21:X22)</f>
        <v>0</v>
      </c>
      <c r="Y20" s="272">
        <f t="shared" ref="Y20" si="81">SUM(Y21:Y22)</f>
        <v>0.67185874400841428</v>
      </c>
      <c r="Z20" s="273">
        <f t="shared" ref="Z20" si="82">SUM(Z21:Z22)</f>
        <v>0</v>
      </c>
      <c r="AA20" s="274">
        <f t="shared" ref="AA20" si="83">SUM(AA21:AA22)</f>
        <v>0.10838475964664043</v>
      </c>
      <c r="AB20" s="271">
        <f t="shared" ref="AB20" si="84">SUM(AB21:AB22)</f>
        <v>0</v>
      </c>
      <c r="AC20" s="272">
        <f t="shared" ref="AC20" si="85">SUM(AC21:AC22)</f>
        <v>52636.389832791931</v>
      </c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</row>
    <row r="21" spans="2:43" x14ac:dyDescent="0.25">
      <c r="B21" s="218"/>
      <c r="C21" s="219" t="s">
        <v>95</v>
      </c>
      <c r="D21" s="220">
        <v>0</v>
      </c>
      <c r="E21" s="550">
        <f>'NEW Boiler 5 PTE (B005)'!D96</f>
        <v>0.23507811769108422</v>
      </c>
      <c r="F21" s="220">
        <v>0</v>
      </c>
      <c r="G21" s="550">
        <f>'NEW Boiler 5 PTE (B005)'!$D$97+'NEW Boiler 5 PTE (B005)'!$D$95</f>
        <v>0.94031247076433699</v>
      </c>
      <c r="H21" s="220">
        <v>0</v>
      </c>
      <c r="I21" s="360">
        <f>'NEW Boiler 5 PTE (B005)'!$D$98+'NEW Boiler 5 PTE (B005)'!$D$95</f>
        <v>0.94031247076433699</v>
      </c>
      <c r="J21" s="220">
        <v>0</v>
      </c>
      <c r="K21" s="550">
        <f>'NEW Boiler 5 PTE (B005)'!$D$101</f>
        <v>7.4235195060342402E-2</v>
      </c>
      <c r="L21" s="220">
        <v>0</v>
      </c>
      <c r="M21" s="360">
        <f>'NEW Boiler 5 PTE (B005)'!$D$99</f>
        <v>4.1399999999999997</v>
      </c>
      <c r="N21" s="220">
        <v>0</v>
      </c>
      <c r="O21" s="550">
        <f>'NEW Boiler 5 PTE (B005)'!$D$102</f>
        <v>4.1680701457570937</v>
      </c>
      <c r="P21" s="220">
        <v>0</v>
      </c>
      <c r="Q21" s="360">
        <f>'NEW Boiler 5 PTE (B005)'!$D$100</f>
        <v>0.68048928805313857</v>
      </c>
      <c r="R21" s="220">
        <v>0</v>
      </c>
      <c r="S21" s="550">
        <f>'NEW Boiler 5 PTE (B005)'!$D$135</f>
        <v>6.1862662550285331E-5</v>
      </c>
      <c r="T21" s="220">
        <v>0</v>
      </c>
      <c r="U21" s="550">
        <f>'NEW Boiler 5 PTE (B005)'!D132</f>
        <v>0.39592104032182612</v>
      </c>
      <c r="V21" s="220">
        <v>0</v>
      </c>
      <c r="W21" s="551">
        <f>'NEW Boiler 5 PTE (B005)'!$D$147</f>
        <v>15470.244792697902</v>
      </c>
      <c r="X21" s="220">
        <v>0</v>
      </c>
      <c r="Y21" s="551">
        <f>'NEW Boiler 5 PTE (B005)'!D148</f>
        <v>0.29156134173950055</v>
      </c>
      <c r="Z21" s="220">
        <v>0</v>
      </c>
      <c r="AA21" s="551">
        <f>'NEW Boiler 5 PTE (B005)'!D149</f>
        <v>2.9156134173950056E-2</v>
      </c>
      <c r="AB21" s="220">
        <v>0</v>
      </c>
      <c r="AC21" s="551">
        <f>'NEW Boiler 5 PTE (B005)'!D150</f>
        <v>15486.134885822705</v>
      </c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</row>
    <row r="22" spans="2:43" ht="14.25" thickBot="1" x14ac:dyDescent="0.3">
      <c r="B22" s="218"/>
      <c r="C22" s="247" t="s">
        <v>97</v>
      </c>
      <c r="D22" s="220">
        <v>0</v>
      </c>
      <c r="E22" s="550">
        <f>'NEW Boiler 5 PTE (B005)'!D161</f>
        <v>4.3543580222786789</v>
      </c>
      <c r="F22" s="220">
        <v>0</v>
      </c>
      <c r="G22" s="550">
        <f>'NEW Boiler 5 PTE (B005)'!$D$162+'NEW Boiler 5 PTE (B005)'!$D$160</f>
        <v>5.3376001563416056</v>
      </c>
      <c r="H22" s="220">
        <v>0</v>
      </c>
      <c r="I22" s="360">
        <f>'NEW Boiler 5 PTE (B005)'!$D$163+'NEW Boiler 5 PTE (B005)'!$D$160</f>
        <v>4.5439832909908144</v>
      </c>
      <c r="J22" s="220">
        <v>0</v>
      </c>
      <c r="K22" s="550">
        <f>'NEW Boiler 5 PTE (B005)'!$D$166</f>
        <v>52.294279596672894</v>
      </c>
      <c r="L22" s="220">
        <v>0</v>
      </c>
      <c r="M22" s="360">
        <f>'NEW Boiler 5 PTE (B005)'!$D$164</f>
        <v>11.249999999999998</v>
      </c>
      <c r="N22" s="220">
        <v>0</v>
      </c>
      <c r="O22" s="550">
        <f>'NEW Boiler 5 PTE (B005)'!$D$167</f>
        <v>11.326277569992103</v>
      </c>
      <c r="P22" s="220">
        <v>0</v>
      </c>
      <c r="Q22" s="360">
        <f>'NEW Boiler 5 PTE (B005)'!$D$165</f>
        <v>0.84277897205393781</v>
      </c>
      <c r="R22" s="220">
        <v>0</v>
      </c>
      <c r="S22" s="550">
        <v>0</v>
      </c>
      <c r="T22" s="220">
        <v>0</v>
      </c>
      <c r="U22" s="278">
        <f>'NEW Boiler 5 PTE (B005)'!D177</f>
        <v>9.465995700605824E-2</v>
      </c>
      <c r="V22" s="220">
        <v>0</v>
      </c>
      <c r="W22" s="551">
        <f>'NEW Boiler 5 PTE (B005)'!$D$180</f>
        <v>37118.611033955429</v>
      </c>
      <c r="X22" s="220">
        <v>0</v>
      </c>
      <c r="Y22" s="551">
        <f>'NEW Boiler 5 PTE (B005)'!D181</f>
        <v>0.38029740226891373</v>
      </c>
      <c r="Z22" s="220">
        <v>0</v>
      </c>
      <c r="AA22" s="551">
        <f>'NEW Boiler 5 PTE (B005)'!D182</f>
        <v>7.922862547269037E-2</v>
      </c>
      <c r="AB22" s="220">
        <v>0</v>
      </c>
      <c r="AC22" s="551">
        <f>'NEW Boiler 5 PTE (B005)'!D183</f>
        <v>37150.254946969224</v>
      </c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</row>
    <row r="23" spans="2:43" ht="15" x14ac:dyDescent="0.25">
      <c r="D23" s="571" t="s">
        <v>101</v>
      </c>
      <c r="E23" s="572"/>
      <c r="F23" s="571" t="s">
        <v>65</v>
      </c>
      <c r="G23" s="572"/>
      <c r="H23" s="573" t="s">
        <v>69</v>
      </c>
      <c r="I23" s="574"/>
      <c r="J23" s="571" t="s">
        <v>84</v>
      </c>
      <c r="K23" s="572"/>
      <c r="L23" s="573" t="str">
        <f>L12</f>
        <v>NOx</v>
      </c>
      <c r="M23" s="574"/>
      <c r="N23" s="571" t="str">
        <f>N12</f>
        <v>CO</v>
      </c>
      <c r="O23" s="572"/>
      <c r="P23" s="573" t="str">
        <f>P12</f>
        <v>VOC</v>
      </c>
      <c r="Q23" s="574"/>
      <c r="R23" s="571" t="str">
        <f>R12</f>
        <v>Lead</v>
      </c>
      <c r="S23" s="572"/>
      <c r="T23" s="571" t="s">
        <v>86</v>
      </c>
      <c r="U23" s="572"/>
      <c r="V23" s="571" t="s">
        <v>87</v>
      </c>
      <c r="W23" s="572"/>
      <c r="X23" s="571" t="s">
        <v>88</v>
      </c>
      <c r="Y23" s="572"/>
      <c r="Z23" s="573" t="s">
        <v>89</v>
      </c>
      <c r="AA23" s="574"/>
      <c r="AB23" s="575" t="s">
        <v>68</v>
      </c>
      <c r="AC23" s="576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</row>
    <row r="24" spans="2:43" ht="14.25" thickBot="1" x14ac:dyDescent="0.3">
      <c r="D24" s="214" t="str">
        <f t="shared" ref="D24:K24" si="86">D13</f>
        <v>BAE (tpy)</v>
      </c>
      <c r="E24" s="215" t="str">
        <f t="shared" si="86"/>
        <v>PAE (tpy)</v>
      </c>
      <c r="F24" s="214" t="str">
        <f t="shared" si="86"/>
        <v>BAE (tpy)</v>
      </c>
      <c r="G24" s="215" t="str">
        <f t="shared" si="86"/>
        <v>PAE (tpy)</v>
      </c>
      <c r="H24" s="216" t="str">
        <f t="shared" si="86"/>
        <v>BAE (tpy)</v>
      </c>
      <c r="I24" s="217" t="str">
        <f t="shared" si="86"/>
        <v>PAE (tpy)</v>
      </c>
      <c r="J24" s="214" t="str">
        <f t="shared" si="86"/>
        <v>BAE (tpy)</v>
      </c>
      <c r="K24" s="215" t="str">
        <f t="shared" si="86"/>
        <v>PAE (tpy)</v>
      </c>
      <c r="L24" s="216" t="str">
        <f>L13</f>
        <v>BAE (tpy)</v>
      </c>
      <c r="M24" s="217" t="str">
        <f>M13</f>
        <v>PAE (tpy)</v>
      </c>
      <c r="N24" s="214" t="str">
        <f>N13</f>
        <v>BAE (tpy)</v>
      </c>
      <c r="O24" s="215" t="str">
        <f>O13</f>
        <v>PAE (tpy)</v>
      </c>
      <c r="P24" s="216" t="str">
        <f>P13</f>
        <v>BAE (tpy)</v>
      </c>
      <c r="Q24" s="217" t="str">
        <f>Q13</f>
        <v>PAE (tpy)</v>
      </c>
      <c r="R24" s="214" t="str">
        <f>R13</f>
        <v>BAE (tpy)</v>
      </c>
      <c r="S24" s="215" t="str">
        <f t="shared" ref="S24:AC24" si="87">S13</f>
        <v>PAE (tpy)</v>
      </c>
      <c r="T24" s="214" t="str">
        <f t="shared" si="87"/>
        <v>BAE (tpy)</v>
      </c>
      <c r="U24" s="215" t="str">
        <f t="shared" si="87"/>
        <v>PAE (tpy)</v>
      </c>
      <c r="V24" s="221" t="str">
        <f t="shared" si="87"/>
        <v>BAE (tpy)</v>
      </c>
      <c r="W24" s="222" t="str">
        <f t="shared" si="87"/>
        <v>PAE (tpy)</v>
      </c>
      <c r="X24" s="221" t="str">
        <f t="shared" si="87"/>
        <v>BAE (tpy)</v>
      </c>
      <c r="Y24" s="222" t="str">
        <f t="shared" si="87"/>
        <v>PAE (tpy)</v>
      </c>
      <c r="Z24" s="223" t="str">
        <f t="shared" si="87"/>
        <v>BAE (tpy)</v>
      </c>
      <c r="AA24" s="224" t="str">
        <f t="shared" si="87"/>
        <v>PAE (tpy)</v>
      </c>
      <c r="AB24" s="221" t="str">
        <f t="shared" si="87"/>
        <v>BAE (tpy)</v>
      </c>
      <c r="AC24" s="222" t="str">
        <f t="shared" si="87"/>
        <v>PAE (tpy)</v>
      </c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</row>
    <row r="25" spans="2:43" ht="15.75" customHeight="1" thickBot="1" x14ac:dyDescent="0.3">
      <c r="C25" s="225" t="s">
        <v>102</v>
      </c>
      <c r="D25" s="226">
        <f ca="1">SUM(D14,D17,D20)</f>
        <v>2.0984862647203908</v>
      </c>
      <c r="E25" s="228">
        <f t="shared" ref="E25:AC25" si="88">SUM(E14,E17,E20)</f>
        <v>4.589436139969763</v>
      </c>
      <c r="F25" s="226">
        <f t="shared" ca="1" si="88"/>
        <v>1.512208069347456</v>
      </c>
      <c r="G25" s="228">
        <f t="shared" si="88"/>
        <v>6.2779126271059429</v>
      </c>
      <c r="H25" s="227">
        <f t="shared" ca="1" si="88"/>
        <v>1.302646236523946</v>
      </c>
      <c r="I25" s="229">
        <f t="shared" si="88"/>
        <v>5.4842957617551518</v>
      </c>
      <c r="J25" s="226">
        <f t="shared" si="88"/>
        <v>12.396135293759221</v>
      </c>
      <c r="K25" s="228">
        <f t="shared" si="88"/>
        <v>52.368514791733233</v>
      </c>
      <c r="L25" s="227">
        <f t="shared" ca="1" si="88"/>
        <v>16.188415608650317</v>
      </c>
      <c r="M25" s="229">
        <f t="shared" si="88"/>
        <v>15.389999999999997</v>
      </c>
      <c r="N25" s="226">
        <f t="shared" ca="1" si="88"/>
        <v>4.5481651804810355</v>
      </c>
      <c r="O25" s="228">
        <f t="shared" si="88"/>
        <v>15.494347715749196</v>
      </c>
      <c r="P25" s="227">
        <f t="shared" ca="1" si="88"/>
        <v>0.29691342039149005</v>
      </c>
      <c r="Q25" s="229">
        <f t="shared" si="88"/>
        <v>1.5232682601070764</v>
      </c>
      <c r="R25" s="226">
        <f t="shared" ca="1" si="88"/>
        <v>6.7608982827169069E-6</v>
      </c>
      <c r="S25" s="228">
        <f t="shared" si="88"/>
        <v>6.1862662550285331E-5</v>
      </c>
      <c r="T25" s="226">
        <f t="shared" ca="1" si="88"/>
        <v>7.2014956166595395E-2</v>
      </c>
      <c r="U25" s="228">
        <f t="shared" si="88"/>
        <v>0.49058099732788435</v>
      </c>
      <c r="V25" s="226">
        <f t="shared" ca="1" si="88"/>
        <v>10879.807342543321</v>
      </c>
      <c r="W25" s="228">
        <f t="shared" si="88"/>
        <v>52588.855826653329</v>
      </c>
      <c r="X25" s="226">
        <f t="shared" ca="1" si="88"/>
        <v>0.12566352490990618</v>
      </c>
      <c r="Y25" s="228">
        <f t="shared" si="88"/>
        <v>0.67185874400841428</v>
      </c>
      <c r="Z25" s="227">
        <f t="shared" ca="1" si="88"/>
        <v>2.1162953981025714E-2</v>
      </c>
      <c r="AA25" s="229">
        <f t="shared" si="88"/>
        <v>0.10838475964664043</v>
      </c>
      <c r="AB25" s="226">
        <f t="shared" ca="1" si="88"/>
        <v>10888.934104045771</v>
      </c>
      <c r="AC25" s="228">
        <f t="shared" si="88"/>
        <v>52636.389832791931</v>
      </c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</row>
    <row r="26" spans="2:43" hidden="1" x14ac:dyDescent="0.25">
      <c r="C26" s="230" t="s">
        <v>103</v>
      </c>
      <c r="D26" s="203" t="str">
        <f>TEXT(D11,"mmmm")</f>
        <v>September</v>
      </c>
      <c r="F26" s="203" t="str">
        <f>TEXT(F11,"mmmm")</f>
        <v>September</v>
      </c>
      <c r="G26" s="231"/>
      <c r="H26" s="203" t="str">
        <f>TEXT(H11,"mmmm")</f>
        <v>September</v>
      </c>
      <c r="J26" s="203" t="str">
        <f>TEXT(J11,"mmmm")</f>
        <v>September</v>
      </c>
      <c r="L26" s="203" t="str">
        <f>TEXT(L11,"mmmm")</f>
        <v>September</v>
      </c>
      <c r="N26" s="203" t="str">
        <f>TEXT(N11,"mmmm")</f>
        <v>September</v>
      </c>
      <c r="P26" s="203" t="str">
        <f>TEXT(P11,"mmmm")</f>
        <v>September</v>
      </c>
      <c r="R26" s="203" t="str">
        <f>TEXT(R11,"mmmm")</f>
        <v>September</v>
      </c>
      <c r="T26" s="203" t="str">
        <f>TEXT(T11,"mmmm")</f>
        <v>September</v>
      </c>
      <c r="V26" s="203" t="str">
        <f>TEXT(V11,"mmmm")</f>
        <v>September</v>
      </c>
      <c r="X26" s="203" t="str">
        <f>TEXT(X11,"mmmm")</f>
        <v>September</v>
      </c>
      <c r="Z26" s="203" t="str">
        <f>TEXT(Z11,"mmmm")</f>
        <v>September</v>
      </c>
      <c r="AB26" s="203" t="str">
        <f>TEXT(AB11,"mmmm")</f>
        <v>September</v>
      </c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</row>
    <row r="27" spans="2:43" hidden="1" x14ac:dyDescent="0.25">
      <c r="C27" s="230" t="s">
        <v>104</v>
      </c>
      <c r="D27" s="232">
        <f>YEAR(D11)</f>
        <v>2022</v>
      </c>
      <c r="F27" s="232">
        <f>YEAR(F11)</f>
        <v>2022</v>
      </c>
      <c r="G27" s="232"/>
      <c r="H27" s="232">
        <f>YEAR(H11)</f>
        <v>2022</v>
      </c>
      <c r="I27" s="232"/>
      <c r="J27" s="232">
        <f>YEAR(J11)</f>
        <v>2022</v>
      </c>
      <c r="K27" s="232"/>
      <c r="L27" s="232">
        <f>YEAR(L11)</f>
        <v>2022</v>
      </c>
      <c r="N27" s="232">
        <f>YEAR(N11)</f>
        <v>2022</v>
      </c>
      <c r="O27" s="232"/>
      <c r="P27" s="232">
        <f>YEAR(P11)</f>
        <v>2022</v>
      </c>
      <c r="Q27" s="232"/>
      <c r="R27" s="232">
        <f>YEAR(R11)</f>
        <v>2022</v>
      </c>
      <c r="S27" s="232"/>
      <c r="T27" s="232">
        <f>YEAR(T11)</f>
        <v>2022</v>
      </c>
      <c r="U27" s="232"/>
      <c r="V27" s="232">
        <f>YEAR(V11)</f>
        <v>2022</v>
      </c>
      <c r="W27" s="232"/>
      <c r="X27" s="232">
        <f>YEAR(X11)</f>
        <v>2022</v>
      </c>
      <c r="Y27" s="232"/>
      <c r="Z27" s="232">
        <f>YEAR(Z11)</f>
        <v>2022</v>
      </c>
      <c r="AA27" s="232"/>
      <c r="AB27" s="232">
        <f>YEAR(AB11)</f>
        <v>2022</v>
      </c>
      <c r="AC27" s="232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</row>
    <row r="28" spans="2:43" hidden="1" x14ac:dyDescent="0.25">
      <c r="D28" s="232" t="s">
        <v>105</v>
      </c>
      <c r="F28" s="232" t="s">
        <v>106</v>
      </c>
      <c r="G28" s="232"/>
      <c r="H28" s="232" t="s">
        <v>107</v>
      </c>
      <c r="I28" s="232"/>
      <c r="J28" s="232" t="s">
        <v>108</v>
      </c>
      <c r="K28" s="232"/>
      <c r="L28" s="232" t="s">
        <v>109</v>
      </c>
      <c r="N28" s="232" t="s">
        <v>110</v>
      </c>
      <c r="O28" s="232"/>
      <c r="P28" s="232" t="s">
        <v>111</v>
      </c>
      <c r="Q28" s="232"/>
      <c r="R28" s="232" t="s">
        <v>112</v>
      </c>
      <c r="S28" s="232"/>
      <c r="T28" s="232" t="s">
        <v>113</v>
      </c>
      <c r="U28" s="232"/>
      <c r="V28" s="232" t="s">
        <v>114</v>
      </c>
      <c r="W28" s="232"/>
      <c r="X28" s="232" t="s">
        <v>115</v>
      </c>
      <c r="Y28" s="232"/>
      <c r="Z28" s="232" t="s">
        <v>116</v>
      </c>
      <c r="AA28" s="232"/>
      <c r="AB28" s="232" t="s">
        <v>68</v>
      </c>
      <c r="AC28" s="232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</row>
    <row r="29" spans="2:43" hidden="1" x14ac:dyDescent="0.25"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</row>
    <row r="30" spans="2:43" x14ac:dyDescent="0.25">
      <c r="O30" s="2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</row>
    <row r="31" spans="2:43" x14ac:dyDescent="0.25">
      <c r="E31" s="218"/>
      <c r="G31" s="231"/>
      <c r="Q31" s="2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</row>
    <row r="32" spans="2:43" x14ac:dyDescent="0.25"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</row>
    <row r="35" spans="7:8" x14ac:dyDescent="0.25">
      <c r="G35" s="232"/>
      <c r="H35" s="233"/>
    </row>
    <row r="36" spans="7:8" x14ac:dyDescent="0.25">
      <c r="G36" s="232"/>
      <c r="H36" s="233"/>
    </row>
    <row r="37" spans="7:8" x14ac:dyDescent="0.25">
      <c r="G37" s="232"/>
      <c r="H37" s="233"/>
    </row>
  </sheetData>
  <mergeCells count="39">
    <mergeCell ref="AB23:AC23"/>
    <mergeCell ref="P23:Q23"/>
    <mergeCell ref="R23:S23"/>
    <mergeCell ref="T23:U23"/>
    <mergeCell ref="V23:W23"/>
    <mergeCell ref="X23:Y23"/>
    <mergeCell ref="D23:E23"/>
    <mergeCell ref="F23:G23"/>
    <mergeCell ref="H23:I23"/>
    <mergeCell ref="J23:K23"/>
    <mergeCell ref="L23:M23"/>
    <mergeCell ref="N23:O23"/>
    <mergeCell ref="T12:U12"/>
    <mergeCell ref="V12:W12"/>
    <mergeCell ref="X12:Y12"/>
    <mergeCell ref="Z12:AA12"/>
    <mergeCell ref="Z23:AA23"/>
    <mergeCell ref="AB12:AC12"/>
    <mergeCell ref="Z11:AA11"/>
    <mergeCell ref="AB11:AC11"/>
    <mergeCell ref="D12:E12"/>
    <mergeCell ref="F12:G12"/>
    <mergeCell ref="H12:I12"/>
    <mergeCell ref="J12:K12"/>
    <mergeCell ref="L12:M12"/>
    <mergeCell ref="N12:O12"/>
    <mergeCell ref="P12:Q12"/>
    <mergeCell ref="R12:S12"/>
    <mergeCell ref="P11:Q11"/>
    <mergeCell ref="R11:S11"/>
    <mergeCell ref="T11:U11"/>
    <mergeCell ref="V11:W11"/>
    <mergeCell ref="X11:Y11"/>
    <mergeCell ref="N11:O11"/>
    <mergeCell ref="D11:E11"/>
    <mergeCell ref="F11:G11"/>
    <mergeCell ref="H11:I11"/>
    <mergeCell ref="J11:K11"/>
    <mergeCell ref="L11:M11"/>
  </mergeCells>
  <pageMargins left="0.7" right="0.7" top="0.75" bottom="0.75" header="0.3" footer="0.3"/>
  <pageSetup scale="66" orientation="landscape" r:id="rId1"/>
  <colBreaks count="1" manualBreakCount="1">
    <brk id="15" min="2" max="24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BB65A-FE01-4CD6-AF77-5CF0124C972A}">
  <sheetPr>
    <tabColor theme="7" tint="0.79998168889431442"/>
  </sheetPr>
  <dimension ref="A1"/>
  <sheetViews>
    <sheetView workbookViewId="0"/>
  </sheetViews>
  <sheetFormatPr defaultRowHeight="12.75" x14ac:dyDescent="0.2"/>
  <cols>
    <col min="1" max="16384" width="9.140625" style="37"/>
  </cols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72DA8-45F0-4C27-B8D9-F3A93092E45B}">
  <sheetPr>
    <tabColor theme="7" tint="0.79998168889431442"/>
  </sheetPr>
  <dimension ref="B1:P185"/>
  <sheetViews>
    <sheetView zoomScale="120" zoomScaleNormal="120" zoomScaleSheetLayoutView="120" workbookViewId="0">
      <selection activeCell="C18" sqref="C18"/>
    </sheetView>
  </sheetViews>
  <sheetFormatPr defaultColWidth="9.140625" defaultRowHeight="12.75" x14ac:dyDescent="0.2"/>
  <cols>
    <col min="1" max="1" width="2.42578125" style="39" customWidth="1"/>
    <col min="2" max="2" width="39.85546875" style="39" customWidth="1"/>
    <col min="3" max="3" width="11.7109375" style="39" customWidth="1"/>
    <col min="4" max="4" width="9.85546875" style="39" bestFit="1" customWidth="1"/>
    <col min="5" max="5" width="9.7109375" style="39" bestFit="1" customWidth="1"/>
    <col min="6" max="6" width="10.28515625" style="39" bestFit="1" customWidth="1"/>
    <col min="7" max="7" width="59.42578125" style="40" bestFit="1" customWidth="1"/>
    <col min="8" max="8" width="10.42578125" style="41" bestFit="1" customWidth="1"/>
    <col min="9" max="9" width="9.140625" style="41"/>
    <col min="10" max="10" width="10.7109375" style="41" bestFit="1" customWidth="1"/>
    <col min="11" max="11" width="9.140625" style="41"/>
    <col min="12" max="12" width="12.140625" style="39" customWidth="1"/>
    <col min="13" max="13" width="11.42578125" style="39" bestFit="1" customWidth="1"/>
    <col min="14" max="16384" width="9.140625" style="39"/>
  </cols>
  <sheetData>
    <row r="1" spans="2:16" ht="11.25" customHeight="1" x14ac:dyDescent="0.2">
      <c r="B1" s="28"/>
    </row>
    <row r="2" spans="2:16" ht="11.25" customHeight="1" x14ac:dyDescent="0.2">
      <c r="B2" s="28"/>
    </row>
    <row r="3" spans="2:16" ht="11.25" customHeight="1" x14ac:dyDescent="0.2"/>
    <row r="4" spans="2:16" s="44" customFormat="1" x14ac:dyDescent="0.2">
      <c r="B4" s="42" t="str">
        <f>'Key Inputs'!B4</f>
        <v>Company Name:</v>
      </c>
      <c r="C4" s="43" t="str">
        <f>'Key Inputs'!C4</f>
        <v>U. S. Steel Corp.</v>
      </c>
      <c r="F4" s="42"/>
      <c r="G4" s="45"/>
      <c r="H4" s="46"/>
      <c r="I4" s="46"/>
      <c r="J4" s="46"/>
      <c r="K4" s="46"/>
    </row>
    <row r="5" spans="2:16" s="44" customFormat="1" x14ac:dyDescent="0.2">
      <c r="B5" s="42" t="str">
        <f>'Key Inputs'!B5</f>
        <v>Site Name:</v>
      </c>
      <c r="C5" s="43" t="str">
        <f>'Key Inputs'!C5</f>
        <v>Irvin Plant</v>
      </c>
      <c r="F5" s="42"/>
      <c r="G5" s="45"/>
      <c r="H5" s="46"/>
      <c r="I5" s="46"/>
      <c r="J5" s="46"/>
      <c r="K5" s="46"/>
    </row>
    <row r="6" spans="2:16" s="44" customFormat="1" x14ac:dyDescent="0.2">
      <c r="B6" s="42" t="str">
        <f>'Key Inputs'!B6</f>
        <v>Description:</v>
      </c>
      <c r="C6" s="43" t="str">
        <f>'Key Inputs'!C6</f>
        <v>Boiler Installation Permit</v>
      </c>
      <c r="F6" s="42"/>
      <c r="G6" s="45"/>
      <c r="H6" s="46"/>
      <c r="I6" s="46"/>
      <c r="J6" s="46"/>
      <c r="K6" s="46"/>
    </row>
    <row r="7" spans="2:16" s="44" customFormat="1" x14ac:dyDescent="0.2">
      <c r="B7" s="42"/>
      <c r="C7" s="42"/>
      <c r="D7" s="42"/>
      <c r="F7" s="42"/>
      <c r="G7" s="45"/>
      <c r="H7" s="46"/>
      <c r="I7" s="46"/>
      <c r="J7" s="46"/>
      <c r="K7" s="46"/>
    </row>
    <row r="8" spans="2:16" s="48" customFormat="1" x14ac:dyDescent="0.2">
      <c r="B8" s="47" t="str">
        <f ca="1">CONCATENATE("TABLE ",_xlfn.SHEET()-2,". New Boiler Emission Calculations")</f>
        <v>TABLE 4. New Boiler Emission Calculations</v>
      </c>
      <c r="C8" s="47"/>
      <c r="D8" s="47"/>
      <c r="F8" s="47"/>
      <c r="G8" s="49"/>
      <c r="H8" s="50"/>
      <c r="I8" s="50"/>
      <c r="J8" s="50"/>
      <c r="K8" s="50"/>
    </row>
    <row r="9" spans="2:16" s="53" customFormat="1" x14ac:dyDescent="0.2">
      <c r="B9" s="51"/>
      <c r="C9" s="52"/>
      <c r="F9" s="34"/>
      <c r="G9" s="54"/>
      <c r="H9" s="41"/>
      <c r="I9" s="41"/>
      <c r="J9" s="41"/>
      <c r="K9" s="41"/>
    </row>
    <row r="10" spans="2:16" s="53" customFormat="1" x14ac:dyDescent="0.2">
      <c r="B10" s="55" t="s">
        <v>117</v>
      </c>
      <c r="C10" s="54" t="s">
        <v>29</v>
      </c>
      <c r="D10" s="55"/>
      <c r="G10" s="54"/>
      <c r="H10" s="41"/>
      <c r="I10" s="41"/>
      <c r="J10" s="41"/>
      <c r="K10" s="41"/>
    </row>
    <row r="11" spans="2:16" s="53" customFormat="1" x14ac:dyDescent="0.2">
      <c r="B11" s="55" t="s">
        <v>118</v>
      </c>
      <c r="C11" s="313" t="s">
        <v>119</v>
      </c>
      <c r="D11" s="55"/>
      <c r="G11" s="54"/>
      <c r="H11" s="41"/>
      <c r="I11" s="41"/>
      <c r="J11" s="41" t="s">
        <v>120</v>
      </c>
      <c r="K11" s="41"/>
    </row>
    <row r="12" spans="2:16" s="53" customFormat="1" x14ac:dyDescent="0.2">
      <c r="B12" s="55" t="s">
        <v>121</v>
      </c>
      <c r="C12" s="313" t="s">
        <v>119</v>
      </c>
      <c r="D12" s="55"/>
      <c r="G12" s="54"/>
      <c r="H12" s="41"/>
      <c r="I12" s="41"/>
      <c r="J12" s="41"/>
      <c r="K12" s="41"/>
    </row>
    <row r="13" spans="2:16" s="53" customFormat="1" x14ac:dyDescent="0.2">
      <c r="B13" s="55" t="s">
        <v>122</v>
      </c>
      <c r="C13" s="57">
        <f>'Key Inputs'!G20</f>
        <v>8760</v>
      </c>
      <c r="D13" s="54" t="s">
        <v>123</v>
      </c>
      <c r="E13" s="58"/>
      <c r="G13" s="56"/>
      <c r="H13" s="41"/>
      <c r="I13" s="41"/>
      <c r="J13" s="41" t="s">
        <v>124</v>
      </c>
      <c r="K13" s="41" t="s">
        <v>125</v>
      </c>
      <c r="N13" s="41" t="s">
        <v>126</v>
      </c>
      <c r="P13" s="509" t="s">
        <v>127</v>
      </c>
    </row>
    <row r="14" spans="2:16" s="53" customFormat="1" x14ac:dyDescent="0.2">
      <c r="B14" s="55" t="s">
        <v>10</v>
      </c>
      <c r="C14" s="59" t="s">
        <v>16</v>
      </c>
      <c r="D14" s="54"/>
      <c r="E14" s="58"/>
      <c r="G14" s="56"/>
      <c r="H14" s="41"/>
      <c r="I14" s="41"/>
      <c r="J14" s="41" t="s">
        <v>128</v>
      </c>
      <c r="K14" s="41">
        <v>8.0000000000000002E-3</v>
      </c>
      <c r="N14" s="541">
        <f>'Key Inputs'!I21</f>
        <v>230000</v>
      </c>
      <c r="P14" s="542">
        <f>N14/SUM($N$14:$N$15)</f>
        <v>0.26900584795321636</v>
      </c>
    </row>
    <row r="15" spans="2:16" s="53" customFormat="1" x14ac:dyDescent="0.2">
      <c r="B15" s="55" t="s">
        <v>129</v>
      </c>
      <c r="C15" s="60">
        <v>97.7</v>
      </c>
      <c r="D15" s="54" t="s">
        <v>17</v>
      </c>
      <c r="E15" s="58"/>
      <c r="G15" s="56"/>
      <c r="H15" s="41"/>
      <c r="I15" s="41"/>
      <c r="J15" s="41" t="s">
        <v>130</v>
      </c>
      <c r="K15" s="41">
        <v>0.02</v>
      </c>
      <c r="N15" s="541">
        <f>'Key Inputs'!I22</f>
        <v>625000</v>
      </c>
      <c r="P15" s="542">
        <f>N15/SUM($N$14:$N$15)</f>
        <v>0.73099415204678364</v>
      </c>
    </row>
    <row r="16" spans="2:16" s="53" customFormat="1" x14ac:dyDescent="0.2">
      <c r="B16" s="55" t="s">
        <v>95</v>
      </c>
      <c r="C16" s="314">
        <f>$C$15/'Key Inputs'!D31</f>
        <v>9.1402376274674887E-2</v>
      </c>
      <c r="D16" s="54" t="s">
        <v>131</v>
      </c>
      <c r="E16" s="58"/>
      <c r="G16" s="56"/>
      <c r="H16" s="41"/>
      <c r="I16" s="41"/>
      <c r="J16" s="41"/>
      <c r="K16" s="41"/>
    </row>
    <row r="17" spans="2:12" s="53" customFormat="1" x14ac:dyDescent="0.2">
      <c r="B17" s="55" t="s">
        <v>97</v>
      </c>
      <c r="C17" s="314">
        <f>$C$15/'Key Inputs'!D32</f>
        <v>0.19093218682821966</v>
      </c>
      <c r="D17" s="54" t="s">
        <v>131</v>
      </c>
      <c r="E17" s="58"/>
      <c r="G17" s="56"/>
      <c r="H17" s="41"/>
      <c r="I17" s="41"/>
      <c r="J17" s="41"/>
      <c r="K17" s="543">
        <f>K14*P14+K15*P15</f>
        <v>1.6771929824561403E-2</v>
      </c>
      <c r="L17" s="41" t="s">
        <v>132</v>
      </c>
    </row>
    <row r="18" spans="2:12" s="53" customFormat="1" x14ac:dyDescent="0.2">
      <c r="B18" s="55" t="s">
        <v>95</v>
      </c>
      <c r="C18" s="61">
        <f>'Key Inputs'!I21/'Key Inputs'!D31</f>
        <v>215.17447843577509</v>
      </c>
      <c r="D18" s="54" t="s">
        <v>133</v>
      </c>
      <c r="E18" s="58" t="s">
        <v>134</v>
      </c>
      <c r="G18" s="56"/>
      <c r="H18" s="41"/>
      <c r="I18" s="62"/>
      <c r="J18" s="41"/>
      <c r="K18" s="41"/>
    </row>
    <row r="19" spans="2:12" s="53" customFormat="1" x14ac:dyDescent="0.2">
      <c r="B19" s="55" t="s">
        <v>97</v>
      </c>
      <c r="C19" s="61">
        <f>'Key Inputs'!I22/'Key Inputs'!D32</f>
        <v>1221.4188000781708</v>
      </c>
      <c r="D19" s="54" t="s">
        <v>133</v>
      </c>
      <c r="E19" s="58" t="s">
        <v>134</v>
      </c>
      <c r="G19" s="56"/>
      <c r="H19" s="41"/>
      <c r="I19" s="62"/>
      <c r="J19" s="41"/>
      <c r="K19" s="41"/>
    </row>
    <row r="20" spans="2:12" s="53" customFormat="1" x14ac:dyDescent="0.2">
      <c r="B20" s="55"/>
      <c r="C20" s="61"/>
      <c r="D20" s="54"/>
      <c r="G20" s="56"/>
      <c r="H20" s="41"/>
      <c r="I20" s="41"/>
      <c r="J20" s="41"/>
      <c r="K20" s="41"/>
    </row>
    <row r="21" spans="2:12" s="48" customFormat="1" x14ac:dyDescent="0.2">
      <c r="B21" s="63" t="s">
        <v>135</v>
      </c>
      <c r="C21" s="63"/>
      <c r="D21" s="63"/>
      <c r="E21" s="64"/>
      <c r="F21" s="63"/>
      <c r="G21" s="65"/>
      <c r="H21" s="41"/>
      <c r="I21" s="50"/>
      <c r="J21" s="50"/>
      <c r="K21" s="50"/>
    </row>
    <row r="22" spans="2:12" s="53" customFormat="1" ht="6" customHeight="1" thickBot="1" x14ac:dyDescent="0.25">
      <c r="D22" s="52"/>
      <c r="E22" s="66"/>
      <c r="F22" s="66"/>
      <c r="G22" s="54"/>
      <c r="I22" s="41"/>
      <c r="J22" s="41"/>
      <c r="K22" s="41"/>
    </row>
    <row r="23" spans="2:12" s="53" customFormat="1" ht="6" customHeight="1" x14ac:dyDescent="0.2">
      <c r="B23" s="67"/>
      <c r="C23" s="68"/>
      <c r="D23" s="69"/>
      <c r="E23" s="70"/>
      <c r="F23" s="70"/>
      <c r="G23" s="71"/>
      <c r="I23" s="41"/>
      <c r="J23" s="41"/>
      <c r="K23" s="41"/>
    </row>
    <row r="24" spans="2:12" s="75" customFormat="1" ht="38.25" x14ac:dyDescent="0.2">
      <c r="B24" s="72" t="s">
        <v>136</v>
      </c>
      <c r="C24" s="73" t="s">
        <v>137</v>
      </c>
      <c r="D24" s="73" t="s">
        <v>138</v>
      </c>
      <c r="E24" s="73" t="s">
        <v>139</v>
      </c>
      <c r="F24" s="73" t="s">
        <v>140</v>
      </c>
      <c r="G24" s="74" t="s">
        <v>141</v>
      </c>
      <c r="I24" s="577"/>
      <c r="J24" s="577"/>
      <c r="K24" s="577"/>
    </row>
    <row r="25" spans="2:12" s="53" customFormat="1" ht="6" customHeight="1" thickBot="1" x14ac:dyDescent="0.25">
      <c r="B25" s="77"/>
      <c r="C25" s="78"/>
      <c r="D25" s="79"/>
      <c r="E25" s="80"/>
      <c r="F25" s="80"/>
      <c r="G25" s="81"/>
      <c r="I25" s="41"/>
      <c r="J25" s="41"/>
      <c r="K25" s="41"/>
    </row>
    <row r="26" spans="2:12" s="53" customFormat="1" ht="6" customHeight="1" x14ac:dyDescent="0.2">
      <c r="B26" s="67"/>
      <c r="C26" s="68"/>
      <c r="D26" s="69"/>
      <c r="E26" s="70"/>
      <c r="F26" s="70"/>
      <c r="G26" s="71"/>
      <c r="I26" s="41"/>
      <c r="J26" s="41"/>
      <c r="K26" s="41"/>
    </row>
    <row r="27" spans="2:12" s="53" customFormat="1" x14ac:dyDescent="0.2">
      <c r="B27" s="82" t="s">
        <v>142</v>
      </c>
      <c r="C27" s="83"/>
      <c r="D27" s="84"/>
      <c r="E27" s="66"/>
      <c r="F27" s="66"/>
      <c r="G27" s="85"/>
      <c r="I27" s="86">
        <f>IF(D28&gt;0.01,D28,"")</f>
        <v>4.589436139969763</v>
      </c>
      <c r="J27" s="86"/>
      <c r="K27" s="86"/>
    </row>
    <row r="28" spans="2:12" s="53" customFormat="1" x14ac:dyDescent="0.2">
      <c r="B28" s="237" t="s">
        <v>143</v>
      </c>
      <c r="C28" s="104">
        <f>_xlfn.MAXIFS(C$95:C$183,$B$95:$B$183,$B28)</f>
        <v>1.3613464920852061</v>
      </c>
      <c r="D28" s="104">
        <f>SUMIFS(D$95:D$183,$B$95:$B$183,$B28)</f>
        <v>4.589436139969763</v>
      </c>
      <c r="E28" s="340" t="s">
        <v>144</v>
      </c>
      <c r="F28" s="341" t="s">
        <v>144</v>
      </c>
      <c r="G28" s="342" t="s">
        <v>145</v>
      </c>
      <c r="I28" s="95"/>
      <c r="J28" s="91"/>
      <c r="K28" s="91"/>
    </row>
    <row r="29" spans="2:12" s="53" customFormat="1" ht="15.75" x14ac:dyDescent="0.2">
      <c r="B29" s="237" t="s">
        <v>146</v>
      </c>
      <c r="C29" s="104">
        <f t="shared" ref="C29:C36" si="0">_xlfn.MAXIFS(C$95:C$183,$B$95:$B$183,$B29)</f>
        <v>0.95513826460816875</v>
      </c>
      <c r="D29" s="104">
        <f t="shared" ref="D29:D36" si="1">SUMIFS(D$95:D$183,$B$95:$B$183,$B29)</f>
        <v>3.2901518913866084</v>
      </c>
      <c r="E29" s="340" t="s">
        <v>144</v>
      </c>
      <c r="F29" s="341" t="s">
        <v>144</v>
      </c>
      <c r="G29" s="342" t="s">
        <v>145</v>
      </c>
      <c r="I29" s="95"/>
      <c r="J29" s="41"/>
      <c r="K29" s="132"/>
    </row>
    <row r="30" spans="2:12" s="53" customFormat="1" ht="15.75" x14ac:dyDescent="0.2">
      <c r="B30" s="237" t="s">
        <v>147</v>
      </c>
      <c r="C30" s="104">
        <f t="shared" si="0"/>
        <v>0.70702188782489739</v>
      </c>
      <c r="D30" s="104">
        <f t="shared" si="1"/>
        <v>2.4965350260358172</v>
      </c>
      <c r="E30" s="340" t="s">
        <v>144</v>
      </c>
      <c r="F30" s="341" t="s">
        <v>144</v>
      </c>
      <c r="G30" s="342" t="s">
        <v>145</v>
      </c>
      <c r="I30" s="95"/>
      <c r="J30" s="41"/>
      <c r="K30" s="41"/>
    </row>
    <row r="31" spans="2:12" s="94" customFormat="1" ht="15" customHeight="1" x14ac:dyDescent="0.2">
      <c r="B31" s="87" t="s">
        <v>148</v>
      </c>
      <c r="C31" s="104">
        <f t="shared" si="0"/>
        <v>0.713609048270471</v>
      </c>
      <c r="D31" s="104">
        <f t="shared" si="1"/>
        <v>2.9877607357193341</v>
      </c>
      <c r="E31" s="340" t="s">
        <v>144</v>
      </c>
      <c r="F31" s="341" t="s">
        <v>144</v>
      </c>
      <c r="G31" s="342" t="s">
        <v>145</v>
      </c>
      <c r="I31" s="95"/>
      <c r="J31" s="91"/>
      <c r="K31" s="91"/>
      <c r="L31" s="91"/>
    </row>
    <row r="32" spans="2:12" s="53" customFormat="1" ht="15.75" x14ac:dyDescent="0.2">
      <c r="B32" s="87" t="s">
        <v>149</v>
      </c>
      <c r="C32" s="104">
        <f t="shared" si="0"/>
        <v>3.5171999999999999</v>
      </c>
      <c r="D32" s="104">
        <f t="shared" si="1"/>
        <v>15.389999999999997</v>
      </c>
      <c r="E32" s="340" t="s">
        <v>144</v>
      </c>
      <c r="F32" s="341" t="s">
        <v>144</v>
      </c>
      <c r="G32" s="342" t="s">
        <v>145</v>
      </c>
      <c r="I32" s="95"/>
      <c r="J32" s="41"/>
      <c r="K32" s="41"/>
    </row>
    <row r="33" spans="2:11" s="53" customFormat="1" x14ac:dyDescent="0.2">
      <c r="B33" s="87" t="s">
        <v>150</v>
      </c>
      <c r="C33" s="104">
        <f t="shared" si="0"/>
        <v>0.57812002993731859</v>
      </c>
      <c r="D33" s="104">
        <f t="shared" si="1"/>
        <v>1.5232682601070764</v>
      </c>
      <c r="E33" s="340" t="s">
        <v>144</v>
      </c>
      <c r="F33" s="341" t="s">
        <v>144</v>
      </c>
      <c r="G33" s="342" t="s">
        <v>145</v>
      </c>
      <c r="I33" s="95"/>
      <c r="J33" s="41"/>
      <c r="K33" s="41"/>
    </row>
    <row r="34" spans="2:11" s="53" customFormat="1" ht="15.75" x14ac:dyDescent="0.2">
      <c r="B34" s="87" t="s">
        <v>151</v>
      </c>
      <c r="C34" s="104">
        <f t="shared" si="0"/>
        <v>11.939333241249518</v>
      </c>
      <c r="D34" s="104">
        <f t="shared" si="1"/>
        <v>52.368514791733233</v>
      </c>
      <c r="E34" s="340" t="s">
        <v>144</v>
      </c>
      <c r="F34" s="341" t="s">
        <v>144</v>
      </c>
      <c r="G34" s="342" t="s">
        <v>145</v>
      </c>
      <c r="I34" s="95"/>
      <c r="J34" s="41"/>
      <c r="K34" s="41"/>
    </row>
    <row r="35" spans="2:11" s="53" customFormat="1" x14ac:dyDescent="0.2">
      <c r="B35" s="87" t="s">
        <v>152</v>
      </c>
      <c r="C35" s="104">
        <f t="shared" si="0"/>
        <v>3.5410474194823309</v>
      </c>
      <c r="D35" s="104">
        <f t="shared" si="1"/>
        <v>15.494347715749196</v>
      </c>
      <c r="E35" s="340" t="s">
        <v>144</v>
      </c>
      <c r="F35" s="341" t="s">
        <v>144</v>
      </c>
      <c r="G35" s="342" t="s">
        <v>145</v>
      </c>
      <c r="I35" s="95"/>
      <c r="J35" s="41"/>
      <c r="K35" s="41"/>
    </row>
    <row r="36" spans="2:11" s="94" customFormat="1" ht="15" customHeight="1" x14ac:dyDescent="0.2">
      <c r="B36" s="87" t="s">
        <v>153</v>
      </c>
      <c r="C36" s="104">
        <f t="shared" si="0"/>
        <v>0.87065077193668161</v>
      </c>
      <c r="D36" s="104">
        <f t="shared" si="1"/>
        <v>2.784834864178229</v>
      </c>
      <c r="E36" s="340" t="s">
        <v>144</v>
      </c>
      <c r="F36" s="341" t="s">
        <v>144</v>
      </c>
      <c r="G36" s="342" t="s">
        <v>145</v>
      </c>
      <c r="I36" s="95"/>
      <c r="J36" s="91"/>
      <c r="K36" s="91"/>
    </row>
    <row r="37" spans="2:11" s="53" customFormat="1" x14ac:dyDescent="0.2">
      <c r="B37" s="87"/>
      <c r="C37" s="88"/>
      <c r="D37" s="89"/>
      <c r="E37" s="96"/>
      <c r="F37" s="92"/>
      <c r="G37" s="90"/>
      <c r="I37" s="95"/>
      <c r="J37" s="41"/>
      <c r="K37" s="41"/>
    </row>
    <row r="38" spans="2:11" s="53" customFormat="1" x14ac:dyDescent="0.2">
      <c r="B38" s="82" t="s">
        <v>154</v>
      </c>
      <c r="C38" s="83"/>
      <c r="D38" s="97"/>
      <c r="E38" s="98"/>
      <c r="F38" s="99"/>
      <c r="G38" s="85"/>
      <c r="I38" s="95"/>
      <c r="J38" s="41"/>
      <c r="K38" s="41"/>
    </row>
    <row r="39" spans="2:11" s="53" customFormat="1" x14ac:dyDescent="0.2">
      <c r="B39" s="100" t="s">
        <v>155</v>
      </c>
      <c r="C39" s="101"/>
      <c r="D39" s="97"/>
      <c r="E39" s="89"/>
      <c r="F39" s="102"/>
      <c r="G39" s="85"/>
      <c r="I39" s="95"/>
      <c r="J39" s="41"/>
      <c r="K39" s="41"/>
    </row>
    <row r="40" spans="2:11" s="53" customFormat="1" x14ac:dyDescent="0.2">
      <c r="B40" s="236" t="s">
        <v>156</v>
      </c>
      <c r="C40" s="246">
        <f t="shared" ref="C40:C63" si="2">_xlfn.MAXIFS(C$95:C$183,$B$95:$B$183,$B40)</f>
        <v>2.5227055851810269E-6</v>
      </c>
      <c r="D40" s="246">
        <f t="shared" ref="D40:D63" si="3">SUMIFS(D$95:D$183,$B$95:$B$183,$B40)</f>
        <v>2.969407802413696E-6</v>
      </c>
      <c r="E40" s="340" t="s">
        <v>144</v>
      </c>
      <c r="F40" s="341" t="s">
        <v>144</v>
      </c>
      <c r="G40" s="342" t="s">
        <v>145</v>
      </c>
      <c r="I40" s="95"/>
      <c r="J40" s="41"/>
      <c r="K40" s="41"/>
    </row>
    <row r="41" spans="2:11" s="53" customFormat="1" x14ac:dyDescent="0.2">
      <c r="B41" s="236" t="s">
        <v>157</v>
      </c>
      <c r="C41" s="246">
        <f t="shared" si="2"/>
        <v>1.89202918888577E-7</v>
      </c>
      <c r="D41" s="246">
        <f t="shared" si="3"/>
        <v>2.2270558518102718E-7</v>
      </c>
      <c r="E41" s="340" t="s">
        <v>144</v>
      </c>
      <c r="F41" s="341" t="s">
        <v>144</v>
      </c>
      <c r="G41" s="342" t="s">
        <v>145</v>
      </c>
      <c r="I41" s="95"/>
      <c r="J41" s="41"/>
      <c r="K41" s="41"/>
    </row>
    <row r="42" spans="2:11" s="53" customFormat="1" x14ac:dyDescent="0.2">
      <c r="B42" s="236" t="s">
        <v>158</v>
      </c>
      <c r="C42" s="246">
        <f t="shared" si="2"/>
        <v>1.6818037234540177E-6</v>
      </c>
      <c r="D42" s="246">
        <f t="shared" si="3"/>
        <v>1.9796052016091304E-6</v>
      </c>
      <c r="E42" s="340" t="s">
        <v>144</v>
      </c>
      <c r="F42" s="341" t="s">
        <v>144</v>
      </c>
      <c r="G42" s="342" t="s">
        <v>145</v>
      </c>
      <c r="I42" s="95"/>
      <c r="J42" s="41"/>
      <c r="K42" s="41"/>
    </row>
    <row r="43" spans="2:11" s="53" customFormat="1" x14ac:dyDescent="0.2">
      <c r="B43" s="236" t="s">
        <v>159</v>
      </c>
      <c r="C43" s="246">
        <f t="shared" si="2"/>
        <v>1.89202918888577E-7</v>
      </c>
      <c r="D43" s="246">
        <f t="shared" si="3"/>
        <v>2.2270558518102718E-7</v>
      </c>
      <c r="E43" s="340" t="s">
        <v>144</v>
      </c>
      <c r="F43" s="341" t="s">
        <v>144</v>
      </c>
      <c r="G43" s="342" t="s">
        <v>145</v>
      </c>
      <c r="I43" s="95"/>
      <c r="J43" s="41"/>
      <c r="K43" s="41"/>
    </row>
    <row r="44" spans="2:11" s="53" customFormat="1" x14ac:dyDescent="0.2">
      <c r="B44" s="236" t="s">
        <v>160</v>
      </c>
      <c r="C44" s="246">
        <f t="shared" si="2"/>
        <v>1.89202918888577E-7</v>
      </c>
      <c r="D44" s="246">
        <f t="shared" si="3"/>
        <v>2.2270558518102718E-7</v>
      </c>
      <c r="E44" s="340" t="s">
        <v>144</v>
      </c>
      <c r="F44" s="341" t="s">
        <v>144</v>
      </c>
      <c r="G44" s="342" t="s">
        <v>145</v>
      </c>
      <c r="I44" s="95"/>
      <c r="J44" s="41"/>
      <c r="K44" s="41"/>
    </row>
    <row r="45" spans="2:11" s="53" customFormat="1" x14ac:dyDescent="0.2">
      <c r="B45" s="236" t="s">
        <v>161</v>
      </c>
      <c r="C45" s="246">
        <f t="shared" si="2"/>
        <v>2.5227055851810267E-7</v>
      </c>
      <c r="D45" s="246">
        <f t="shared" si="3"/>
        <v>2.9694078024136959E-7</v>
      </c>
      <c r="E45" s="340" t="s">
        <v>144</v>
      </c>
      <c r="F45" s="341" t="s">
        <v>144</v>
      </c>
      <c r="G45" s="342" t="s">
        <v>145</v>
      </c>
      <c r="I45" s="95"/>
      <c r="J45" s="41"/>
      <c r="K45" s="41"/>
    </row>
    <row r="46" spans="2:11" s="53" customFormat="1" x14ac:dyDescent="0.2">
      <c r="B46" s="236" t="s">
        <v>162</v>
      </c>
      <c r="C46" s="246">
        <f t="shared" si="2"/>
        <v>1.89202918888577E-7</v>
      </c>
      <c r="D46" s="246">
        <f t="shared" si="3"/>
        <v>2.2270558518102718E-7</v>
      </c>
      <c r="E46" s="340" t="s">
        <v>144</v>
      </c>
      <c r="F46" s="341" t="s">
        <v>144</v>
      </c>
      <c r="G46" s="342" t="s">
        <v>145</v>
      </c>
      <c r="I46" s="95"/>
      <c r="J46" s="41"/>
      <c r="K46" s="41"/>
    </row>
    <row r="47" spans="2:11" s="53" customFormat="1" x14ac:dyDescent="0.2">
      <c r="B47" s="236" t="s">
        <v>163</v>
      </c>
      <c r="C47" s="246">
        <f t="shared" si="2"/>
        <v>4.3914402970490519E-3</v>
      </c>
      <c r="D47" s="246">
        <f t="shared" si="3"/>
        <v>1.4306139383610162E-2</v>
      </c>
      <c r="E47" s="340" t="s">
        <v>144</v>
      </c>
      <c r="F47" s="341" t="s">
        <v>144</v>
      </c>
      <c r="G47" s="342" t="s">
        <v>145</v>
      </c>
      <c r="I47" s="95"/>
      <c r="J47" s="41"/>
      <c r="K47" s="41"/>
    </row>
    <row r="48" spans="2:11" s="53" customFormat="1" x14ac:dyDescent="0.2">
      <c r="B48" s="236" t="s">
        <v>164</v>
      </c>
      <c r="C48" s="246">
        <f t="shared" si="2"/>
        <v>1.2613527925905133E-7</v>
      </c>
      <c r="D48" s="246">
        <f t="shared" si="3"/>
        <v>1.484703901206848E-7</v>
      </c>
      <c r="E48" s="340" t="s">
        <v>144</v>
      </c>
      <c r="F48" s="341" t="s">
        <v>144</v>
      </c>
      <c r="G48" s="342" t="s">
        <v>145</v>
      </c>
      <c r="I48" s="95"/>
      <c r="J48" s="41"/>
      <c r="K48" s="41"/>
    </row>
    <row r="49" spans="2:11" s="53" customFormat="1" x14ac:dyDescent="0.2">
      <c r="B49" s="236" t="s">
        <v>165</v>
      </c>
      <c r="C49" s="246">
        <f t="shared" si="2"/>
        <v>1.89202918888577E-7</v>
      </c>
      <c r="D49" s="246">
        <f t="shared" si="3"/>
        <v>2.2270558518102718E-7</v>
      </c>
      <c r="E49" s="340" t="s">
        <v>144</v>
      </c>
      <c r="F49" s="341" t="s">
        <v>144</v>
      </c>
      <c r="G49" s="342" t="s">
        <v>145</v>
      </c>
      <c r="I49" s="95"/>
      <c r="J49" s="41"/>
      <c r="K49" s="41"/>
    </row>
    <row r="50" spans="2:11" s="53" customFormat="1" x14ac:dyDescent="0.2">
      <c r="B50" s="236" t="s">
        <v>166</v>
      </c>
      <c r="C50" s="246">
        <f t="shared" si="2"/>
        <v>1.2613527925905133E-7</v>
      </c>
      <c r="D50" s="246">
        <f t="shared" si="3"/>
        <v>1.484703901206848E-7</v>
      </c>
      <c r="E50" s="340" t="s">
        <v>144</v>
      </c>
      <c r="F50" s="341" t="s">
        <v>144</v>
      </c>
      <c r="G50" s="342" t="s">
        <v>145</v>
      </c>
      <c r="I50" s="95"/>
      <c r="J50" s="41"/>
      <c r="K50" s="41"/>
    </row>
    <row r="51" spans="2:11" s="53" customFormat="1" x14ac:dyDescent="0.2">
      <c r="B51" s="236" t="s">
        <v>167</v>
      </c>
      <c r="C51" s="246">
        <f t="shared" si="2"/>
        <v>1.89202918888577E-7</v>
      </c>
      <c r="D51" s="246">
        <f t="shared" si="3"/>
        <v>2.2270558518102718E-7</v>
      </c>
      <c r="E51" s="340" t="s">
        <v>144</v>
      </c>
      <c r="F51" s="341" t="s">
        <v>144</v>
      </c>
      <c r="G51" s="342" t="s">
        <v>145</v>
      </c>
      <c r="I51" s="95"/>
      <c r="J51" s="41"/>
      <c r="K51" s="41"/>
    </row>
    <row r="52" spans="2:11" s="53" customFormat="1" x14ac:dyDescent="0.2">
      <c r="B52" s="236" t="s">
        <v>168</v>
      </c>
      <c r="C52" s="246">
        <f t="shared" si="2"/>
        <v>1.89202918888577E-7</v>
      </c>
      <c r="D52" s="246">
        <f t="shared" si="3"/>
        <v>2.2270558518102718E-7</v>
      </c>
      <c r="E52" s="340" t="s">
        <v>144</v>
      </c>
      <c r="F52" s="341" t="s">
        <v>144</v>
      </c>
      <c r="G52" s="342" t="s">
        <v>145</v>
      </c>
      <c r="I52" s="95"/>
      <c r="J52" s="41"/>
      <c r="K52" s="41"/>
    </row>
    <row r="53" spans="2:11" s="53" customFormat="1" x14ac:dyDescent="0.2">
      <c r="B53" s="236" t="s">
        <v>169</v>
      </c>
      <c r="C53" s="246">
        <f t="shared" si="2"/>
        <v>1.2613527925905133E-7</v>
      </c>
      <c r="D53" s="246">
        <f t="shared" si="3"/>
        <v>1.484703901206848E-7</v>
      </c>
      <c r="E53" s="340" t="s">
        <v>144</v>
      </c>
      <c r="F53" s="341" t="s">
        <v>144</v>
      </c>
      <c r="G53" s="342" t="s">
        <v>145</v>
      </c>
      <c r="I53" s="95"/>
      <c r="J53" s="41"/>
      <c r="K53" s="41"/>
    </row>
    <row r="54" spans="2:11" s="53" customFormat="1" x14ac:dyDescent="0.2">
      <c r="B54" s="236" t="s">
        <v>170</v>
      </c>
      <c r="C54" s="246">
        <f t="shared" si="2"/>
        <v>1.2613527925905131E-4</v>
      </c>
      <c r="D54" s="246">
        <f t="shared" si="3"/>
        <v>1.4847039012068477E-4</v>
      </c>
      <c r="E54" s="340" t="s">
        <v>144</v>
      </c>
      <c r="F54" s="341" t="s">
        <v>144</v>
      </c>
      <c r="G54" s="342" t="s">
        <v>145</v>
      </c>
      <c r="I54" s="95"/>
      <c r="J54" s="41"/>
      <c r="K54" s="41"/>
    </row>
    <row r="55" spans="2:11" s="53" customFormat="1" x14ac:dyDescent="0.2">
      <c r="B55" s="236" t="s">
        <v>171</v>
      </c>
      <c r="C55" s="246">
        <f t="shared" si="2"/>
        <v>3.1533819814762836E-7</v>
      </c>
      <c r="D55" s="246">
        <f t="shared" si="3"/>
        <v>3.71175975301712E-7</v>
      </c>
      <c r="E55" s="340" t="s">
        <v>144</v>
      </c>
      <c r="F55" s="341" t="s">
        <v>144</v>
      </c>
      <c r="G55" s="342" t="s">
        <v>145</v>
      </c>
      <c r="I55" s="95"/>
      <c r="J55" s="41"/>
      <c r="K55" s="41"/>
    </row>
    <row r="56" spans="2:11" s="53" customFormat="1" x14ac:dyDescent="0.2">
      <c r="B56" s="236" t="s">
        <v>172</v>
      </c>
      <c r="C56" s="246">
        <f t="shared" si="2"/>
        <v>2.9431565160445309E-7</v>
      </c>
      <c r="D56" s="246">
        <f t="shared" si="3"/>
        <v>3.4643091028159788E-7</v>
      </c>
      <c r="E56" s="340" t="s">
        <v>144</v>
      </c>
      <c r="F56" s="341" t="s">
        <v>144</v>
      </c>
      <c r="G56" s="342" t="s">
        <v>145</v>
      </c>
      <c r="I56" s="95"/>
      <c r="J56" s="41"/>
      <c r="K56" s="41"/>
    </row>
    <row r="57" spans="2:11" s="53" customFormat="1" x14ac:dyDescent="0.2">
      <c r="B57" s="236" t="s">
        <v>173</v>
      </c>
      <c r="C57" s="104">
        <f t="shared" si="2"/>
        <v>7.8834549536907078E-3</v>
      </c>
      <c r="D57" s="246">
        <f t="shared" si="3"/>
        <v>9.2793993825428002E-3</v>
      </c>
      <c r="E57" s="340" t="s">
        <v>144</v>
      </c>
      <c r="F57" s="341" t="s">
        <v>144</v>
      </c>
      <c r="G57" s="342" t="s">
        <v>145</v>
      </c>
      <c r="I57" s="95"/>
      <c r="J57" s="41"/>
      <c r="K57" s="41"/>
    </row>
    <row r="58" spans="2:11" s="53" customFormat="1" x14ac:dyDescent="0.2">
      <c r="B58" s="103" t="s">
        <v>174</v>
      </c>
      <c r="C58" s="104">
        <f t="shared" si="2"/>
        <v>0.18920291888857702</v>
      </c>
      <c r="D58" s="246">
        <f t="shared" si="3"/>
        <v>0.2227055851810272</v>
      </c>
      <c r="E58" s="340" t="s">
        <v>144</v>
      </c>
      <c r="F58" s="341" t="s">
        <v>144</v>
      </c>
      <c r="G58" s="342" t="s">
        <v>145</v>
      </c>
      <c r="I58" s="95"/>
      <c r="J58" s="41"/>
      <c r="K58" s="41"/>
    </row>
    <row r="59" spans="2:11" s="53" customFormat="1" x14ac:dyDescent="0.2">
      <c r="B59" s="236" t="s">
        <v>175</v>
      </c>
      <c r="C59" s="246">
        <f t="shared" si="2"/>
        <v>1.2193076995041628E-9</v>
      </c>
      <c r="D59" s="246">
        <f t="shared" si="3"/>
        <v>1.4352137711666199E-9</v>
      </c>
      <c r="E59" s="340" t="s">
        <v>144</v>
      </c>
      <c r="F59" s="341" t="s">
        <v>144</v>
      </c>
      <c r="G59" s="342" t="s">
        <v>145</v>
      </c>
      <c r="I59" s="95"/>
      <c r="J59" s="41"/>
      <c r="K59" s="41"/>
    </row>
    <row r="60" spans="2:11" s="53" customFormat="1" x14ac:dyDescent="0.2">
      <c r="B60" s="236" t="s">
        <v>176</v>
      </c>
      <c r="C60" s="246">
        <f t="shared" si="2"/>
        <v>4.1204191224623431E-7</v>
      </c>
      <c r="D60" s="246">
        <f t="shared" si="3"/>
        <v>4.8500327439423691E-7</v>
      </c>
      <c r="E60" s="340" t="s">
        <v>144</v>
      </c>
      <c r="F60" s="341" t="s">
        <v>144</v>
      </c>
      <c r="G60" s="342" t="s">
        <v>145</v>
      </c>
      <c r="I60" s="95"/>
      <c r="J60" s="41"/>
      <c r="K60" s="41"/>
    </row>
    <row r="61" spans="2:11" s="53" customFormat="1" x14ac:dyDescent="0.2">
      <c r="B61" s="236" t="s">
        <v>177</v>
      </c>
      <c r="C61" s="246">
        <f t="shared" si="2"/>
        <v>1.1457287866030497E-8</v>
      </c>
      <c r="D61" s="246">
        <f t="shared" si="3"/>
        <v>1.3486060435962203E-8</v>
      </c>
      <c r="E61" s="340" t="s">
        <v>144</v>
      </c>
      <c r="F61" s="341" t="s">
        <v>144</v>
      </c>
      <c r="G61" s="342" t="s">
        <v>145</v>
      </c>
      <c r="I61" s="95"/>
      <c r="J61" s="41"/>
      <c r="K61" s="41"/>
    </row>
    <row r="62" spans="2:11" s="53" customFormat="1" x14ac:dyDescent="0.2">
      <c r="B62" s="236" t="s">
        <v>178</v>
      </c>
      <c r="C62" s="246">
        <f t="shared" si="2"/>
        <v>3.3741187201796239E-9</v>
      </c>
      <c r="D62" s="246">
        <f t="shared" si="3"/>
        <v>3.9715829357283197E-9</v>
      </c>
      <c r="E62" s="340" t="s">
        <v>144</v>
      </c>
      <c r="F62" s="341" t="s">
        <v>144</v>
      </c>
      <c r="G62" s="342" t="s">
        <v>145</v>
      </c>
      <c r="I62" s="95"/>
      <c r="J62" s="41"/>
      <c r="K62" s="41"/>
    </row>
    <row r="63" spans="2:11" s="53" customFormat="1" x14ac:dyDescent="0.2">
      <c r="B63" s="236" t="s">
        <v>179</v>
      </c>
      <c r="C63" s="246">
        <f t="shared" si="2"/>
        <v>2.2914575732060994E-6</v>
      </c>
      <c r="D63" s="246">
        <f t="shared" si="3"/>
        <v>2.6972120871924405E-6</v>
      </c>
      <c r="E63" s="340" t="s">
        <v>144</v>
      </c>
      <c r="F63" s="341" t="s">
        <v>144</v>
      </c>
      <c r="G63" s="342" t="s">
        <v>145</v>
      </c>
      <c r="I63" s="95"/>
      <c r="J63" s="41"/>
      <c r="K63" s="41"/>
    </row>
    <row r="64" spans="2:11" s="53" customFormat="1" x14ac:dyDescent="0.2">
      <c r="B64" s="100"/>
      <c r="C64" s="105"/>
      <c r="D64" s="106"/>
      <c r="E64" s="89"/>
      <c r="F64" s="102"/>
      <c r="G64" s="85"/>
      <c r="I64" s="95"/>
      <c r="J64" s="41"/>
      <c r="K64" s="41"/>
    </row>
    <row r="65" spans="2:11" s="53" customFormat="1" x14ac:dyDescent="0.2">
      <c r="B65" s="100" t="s">
        <v>180</v>
      </c>
      <c r="C65" s="105"/>
      <c r="D65" s="106"/>
      <c r="E65" s="89"/>
      <c r="F65" s="102"/>
      <c r="G65" s="85"/>
      <c r="I65" s="95"/>
      <c r="J65" s="41"/>
      <c r="K65" s="41"/>
    </row>
    <row r="66" spans="2:11" s="53" customFormat="1" ht="15.75" x14ac:dyDescent="0.3">
      <c r="B66" s="103" t="s">
        <v>181</v>
      </c>
      <c r="C66" s="104">
        <f>_xlfn.MAXIFS(C$95:C$183,$B$95:$B$183,$B66)</f>
        <v>6.3007621653312492E-3</v>
      </c>
      <c r="D66" s="246">
        <f t="shared" ref="D66:D68" si="4">SUMIFS(D$95:D$183,$B$95:$B$183,$B66)</f>
        <v>2.0153410201289818E-2</v>
      </c>
      <c r="E66" s="340" t="s">
        <v>144</v>
      </c>
      <c r="F66" s="341" t="s">
        <v>144</v>
      </c>
      <c r="G66" s="342" t="s">
        <v>145</v>
      </c>
      <c r="I66" s="95"/>
      <c r="J66" s="41"/>
      <c r="K66" s="41"/>
    </row>
    <row r="67" spans="2:11" s="53" customFormat="1" x14ac:dyDescent="0.2">
      <c r="B67" s="103" t="s">
        <v>182</v>
      </c>
      <c r="C67" s="104">
        <f>_xlfn.MAXIFS(C$95:C$183,$B$95:$B$183,$B67)</f>
        <v>1.2410592143834279E-2</v>
      </c>
      <c r="D67" s="246">
        <f t="shared" si="4"/>
        <v>3.9696111002540557E-2</v>
      </c>
      <c r="E67" s="340" t="s">
        <v>144</v>
      </c>
      <c r="F67" s="341" t="s">
        <v>144</v>
      </c>
      <c r="G67" s="342" t="s">
        <v>145</v>
      </c>
      <c r="I67" s="95"/>
      <c r="J67" s="41"/>
      <c r="K67" s="41"/>
    </row>
    <row r="68" spans="2:11" s="53" customFormat="1" x14ac:dyDescent="0.2">
      <c r="B68" s="103" t="s">
        <v>183</v>
      </c>
      <c r="C68" s="104">
        <f>_xlfn.MAXIFS(C$95:C$183,$B$95:$B$183,$B68)</f>
        <v>0.33636074469080357</v>
      </c>
      <c r="D68" s="246">
        <f t="shared" si="4"/>
        <v>0.39592104032182612</v>
      </c>
      <c r="E68" s="340" t="s">
        <v>144</v>
      </c>
      <c r="F68" s="341" t="s">
        <v>144</v>
      </c>
      <c r="G68" s="342" t="s">
        <v>145</v>
      </c>
      <c r="I68" s="95"/>
      <c r="J68" s="41"/>
      <c r="K68" s="41"/>
    </row>
    <row r="69" spans="2:11" s="53" customFormat="1" x14ac:dyDescent="0.2">
      <c r="B69" s="100"/>
      <c r="C69" s="105"/>
      <c r="D69" s="106"/>
      <c r="E69" s="89"/>
      <c r="F69" s="102"/>
      <c r="G69" s="85"/>
      <c r="I69" s="95"/>
      <c r="J69" s="41"/>
      <c r="K69" s="41"/>
    </row>
    <row r="70" spans="2:11" s="53" customFormat="1" x14ac:dyDescent="0.2">
      <c r="B70" s="100" t="s">
        <v>184</v>
      </c>
      <c r="C70" s="105"/>
      <c r="D70" s="106"/>
      <c r="E70" s="89"/>
      <c r="F70" s="102"/>
      <c r="G70" s="85"/>
      <c r="I70" s="95"/>
      <c r="J70" s="41"/>
      <c r="K70" s="41"/>
    </row>
    <row r="71" spans="2:11" s="53" customFormat="1" x14ac:dyDescent="0.2">
      <c r="B71" s="103" t="s">
        <v>66</v>
      </c>
      <c r="C71" s="104">
        <f t="shared" ref="C71:C80" si="5">_xlfn.MAXIFS(C$95:C$183,$B$95:$B$183,$B71)</f>
        <v>5.2556366357938062E-5</v>
      </c>
      <c r="D71" s="246">
        <f t="shared" ref="D71:D80" si="6">SUMIFS(D$95:D$183,$B$95:$B$183,$B71)</f>
        <v>6.1862662550285331E-5</v>
      </c>
      <c r="E71" s="340" t="s">
        <v>144</v>
      </c>
      <c r="F71" s="341" t="s">
        <v>144</v>
      </c>
      <c r="G71" s="342" t="s">
        <v>145</v>
      </c>
      <c r="I71" s="95"/>
      <c r="J71" s="41"/>
      <c r="K71" s="41"/>
    </row>
    <row r="72" spans="2:11" s="53" customFormat="1" x14ac:dyDescent="0.2">
      <c r="B72" s="236" t="s">
        <v>185</v>
      </c>
      <c r="C72" s="104">
        <f t="shared" si="5"/>
        <v>1.3454429787632142E-7</v>
      </c>
      <c r="D72" s="246">
        <f t="shared" si="6"/>
        <v>1.5836841612873043E-7</v>
      </c>
      <c r="E72" s="340" t="s">
        <v>144</v>
      </c>
      <c r="F72" s="341" t="s">
        <v>144</v>
      </c>
      <c r="G72" s="342" t="s">
        <v>145</v>
      </c>
      <c r="I72" s="95"/>
      <c r="J72" s="41"/>
      <c r="K72" s="41"/>
    </row>
    <row r="73" spans="2:11" s="53" customFormat="1" x14ac:dyDescent="0.2">
      <c r="B73" s="236" t="s">
        <v>186</v>
      </c>
      <c r="C73" s="104">
        <f t="shared" si="5"/>
        <v>8.0936804191224606E-9</v>
      </c>
      <c r="D73" s="246">
        <f t="shared" si="6"/>
        <v>9.5268500327439413E-9</v>
      </c>
      <c r="E73" s="340" t="s">
        <v>144</v>
      </c>
      <c r="F73" s="341" t="s">
        <v>144</v>
      </c>
      <c r="G73" s="342" t="s">
        <v>145</v>
      </c>
      <c r="I73" s="95"/>
      <c r="J73" s="41"/>
      <c r="K73" s="41"/>
    </row>
    <row r="74" spans="2:11" s="53" customFormat="1" x14ac:dyDescent="0.2">
      <c r="B74" s="236" t="s">
        <v>187</v>
      </c>
      <c r="C74" s="104">
        <f t="shared" si="5"/>
        <v>7.4209589297408533E-7</v>
      </c>
      <c r="D74" s="246">
        <f t="shared" si="6"/>
        <v>8.7350079521002892E-7</v>
      </c>
      <c r="E74" s="340" t="s">
        <v>144</v>
      </c>
      <c r="F74" s="341" t="s">
        <v>144</v>
      </c>
      <c r="G74" s="342" t="s">
        <v>145</v>
      </c>
      <c r="I74" s="95"/>
      <c r="J74" s="41"/>
      <c r="K74" s="41"/>
    </row>
    <row r="75" spans="2:11" s="53" customFormat="1" x14ac:dyDescent="0.2">
      <c r="B75" s="236" t="s">
        <v>188</v>
      </c>
      <c r="C75" s="104">
        <f t="shared" si="5"/>
        <v>9.4496346711572629E-7</v>
      </c>
      <c r="D75" s="246">
        <f t="shared" si="6"/>
        <v>1.1122906726541303E-6</v>
      </c>
      <c r="E75" s="340" t="s">
        <v>144</v>
      </c>
      <c r="F75" s="341" t="s">
        <v>144</v>
      </c>
      <c r="G75" s="342" t="s">
        <v>145</v>
      </c>
      <c r="I75" s="95"/>
      <c r="J75" s="41"/>
      <c r="K75" s="41"/>
    </row>
    <row r="76" spans="2:11" s="53" customFormat="1" x14ac:dyDescent="0.2">
      <c r="B76" s="236" t="s">
        <v>189</v>
      </c>
      <c r="C76" s="104">
        <f t="shared" si="5"/>
        <v>5.665576293385723E-8</v>
      </c>
      <c r="D76" s="246">
        <f t="shared" si="6"/>
        <v>6.6687950229207591E-8</v>
      </c>
      <c r="E76" s="340" t="s">
        <v>144</v>
      </c>
      <c r="F76" s="341" t="s">
        <v>144</v>
      </c>
      <c r="G76" s="342" t="s">
        <v>145</v>
      </c>
      <c r="I76" s="95"/>
      <c r="J76" s="41"/>
      <c r="K76" s="41"/>
    </row>
    <row r="77" spans="2:11" s="53" customFormat="1" x14ac:dyDescent="0.2">
      <c r="B77" s="236" t="s">
        <v>190</v>
      </c>
      <c r="C77" s="104">
        <f t="shared" si="5"/>
        <v>2.5647506782673775E-7</v>
      </c>
      <c r="D77" s="246">
        <f t="shared" si="6"/>
        <v>3.0188979324539244E-7</v>
      </c>
      <c r="E77" s="340" t="s">
        <v>144</v>
      </c>
      <c r="F77" s="341" t="s">
        <v>144</v>
      </c>
      <c r="G77" s="342" t="s">
        <v>145</v>
      </c>
      <c r="I77" s="95"/>
      <c r="J77" s="41"/>
      <c r="K77" s="41"/>
    </row>
    <row r="78" spans="2:11" s="53" customFormat="1" x14ac:dyDescent="0.2">
      <c r="B78" s="236" t="s">
        <v>191</v>
      </c>
      <c r="C78" s="104">
        <f t="shared" si="5"/>
        <v>2.7329310506127787E-5</v>
      </c>
      <c r="D78" s="246">
        <f t="shared" si="6"/>
        <v>3.2168584526148371E-5</v>
      </c>
      <c r="E78" s="340" t="s">
        <v>144</v>
      </c>
      <c r="F78" s="341" t="s">
        <v>144</v>
      </c>
      <c r="G78" s="342" t="s">
        <v>145</v>
      </c>
      <c r="I78" s="95"/>
      <c r="J78" s="41"/>
      <c r="K78" s="41"/>
    </row>
    <row r="79" spans="2:11" s="53" customFormat="1" x14ac:dyDescent="0.2">
      <c r="B79" s="236" t="s">
        <v>192</v>
      </c>
      <c r="C79" s="104">
        <f t="shared" si="5"/>
        <v>1.4190218916643275E-6</v>
      </c>
      <c r="D79" s="246">
        <f t="shared" si="6"/>
        <v>1.670291888857704E-6</v>
      </c>
      <c r="E79" s="340" t="s">
        <v>144</v>
      </c>
      <c r="F79" s="341" t="s">
        <v>144</v>
      </c>
      <c r="G79" s="342" t="s">
        <v>145</v>
      </c>
      <c r="I79" s="95"/>
      <c r="J79" s="41"/>
      <c r="K79" s="41"/>
    </row>
    <row r="80" spans="2:11" s="53" customFormat="1" x14ac:dyDescent="0.2">
      <c r="B80" s="236" t="s">
        <v>193</v>
      </c>
      <c r="C80" s="104">
        <f t="shared" si="5"/>
        <v>1.6187360838244921E-8</v>
      </c>
      <c r="D80" s="246">
        <f t="shared" si="6"/>
        <v>1.9053700065487883E-8</v>
      </c>
      <c r="E80" s="340" t="s">
        <v>144</v>
      </c>
      <c r="F80" s="341" t="s">
        <v>144</v>
      </c>
      <c r="G80" s="342" t="s">
        <v>145</v>
      </c>
      <c r="I80" s="95"/>
      <c r="J80" s="41"/>
      <c r="K80" s="41"/>
    </row>
    <row r="81" spans="2:12" s="53" customFormat="1" x14ac:dyDescent="0.2">
      <c r="B81" s="109"/>
      <c r="C81" s="110"/>
      <c r="D81" s="111"/>
      <c r="E81" s="112"/>
      <c r="F81" s="66"/>
      <c r="G81" s="85"/>
      <c r="I81" s="95"/>
      <c r="J81" s="41"/>
      <c r="K81" s="41"/>
    </row>
    <row r="82" spans="2:12" s="53" customFormat="1" x14ac:dyDescent="0.2">
      <c r="B82" s="82" t="s">
        <v>194</v>
      </c>
      <c r="C82" s="83"/>
      <c r="D82" s="111"/>
      <c r="E82" s="112"/>
      <c r="F82" s="66"/>
      <c r="G82" s="85"/>
      <c r="I82" s="95"/>
      <c r="J82" s="41"/>
      <c r="K82" s="41"/>
    </row>
    <row r="83" spans="2:12" s="53" customFormat="1" ht="15.75" x14ac:dyDescent="0.2">
      <c r="B83" s="113" t="s">
        <v>195</v>
      </c>
      <c r="C83" s="104">
        <f>_xlfn.MAXIFS(C$95:C$183,$B$95:$B$183,$B83)</f>
        <v>13142.981880405086</v>
      </c>
      <c r="D83" s="246">
        <f t="shared" ref="D83:D85" si="7">SUMIFS(D$95:D$183,$B$95:$B$183,$B83)</f>
        <v>52588.855826653329</v>
      </c>
      <c r="E83" s="340" t="s">
        <v>144</v>
      </c>
      <c r="F83" s="341" t="s">
        <v>144</v>
      </c>
      <c r="G83" s="342" t="s">
        <v>145</v>
      </c>
      <c r="I83" s="95"/>
      <c r="J83" s="41"/>
      <c r="K83" s="41"/>
    </row>
    <row r="84" spans="2:12" s="53" customFormat="1" ht="15.75" x14ac:dyDescent="0.2">
      <c r="B84" s="113" t="s">
        <v>196</v>
      </c>
      <c r="C84" s="104">
        <f>_xlfn.MAXIFS(C$95:C$183,$B$95:$B$183,$B84)</f>
        <v>0.24770037467781919</v>
      </c>
      <c r="D84" s="246">
        <f t="shared" si="7"/>
        <v>0.67185874400841428</v>
      </c>
      <c r="E84" s="340" t="s">
        <v>144</v>
      </c>
      <c r="F84" s="341" t="s">
        <v>144</v>
      </c>
      <c r="G84" s="342" t="s">
        <v>145</v>
      </c>
      <c r="I84" s="95"/>
      <c r="J84" s="41"/>
      <c r="K84" s="41"/>
    </row>
    <row r="85" spans="2:12" s="53" customFormat="1" ht="15.75" x14ac:dyDescent="0.2">
      <c r="B85" s="113" t="s">
        <v>197</v>
      </c>
      <c r="C85" s="104">
        <f>_xlfn.MAXIFS(C$95:C$183,$B$95:$B$183,$B85)</f>
        <v>2.4770037467781919E-2</v>
      </c>
      <c r="D85" s="246">
        <f t="shared" si="7"/>
        <v>0.10838475964664043</v>
      </c>
      <c r="E85" s="340" t="s">
        <v>144</v>
      </c>
      <c r="F85" s="341" t="s">
        <v>144</v>
      </c>
      <c r="G85" s="342" t="s">
        <v>145</v>
      </c>
      <c r="I85" s="95"/>
      <c r="J85" s="41"/>
      <c r="K85" s="41"/>
    </row>
    <row r="86" spans="2:12" s="53" customFormat="1" ht="15.75" x14ac:dyDescent="0.2">
      <c r="B86" s="117" t="s">
        <v>198</v>
      </c>
      <c r="C86" s="118">
        <f>D86/$C$13*2000</f>
        <v>12017.440601094046</v>
      </c>
      <c r="D86" s="119">
        <f>D83*'Key Inputs'!$C$49+D84*'Key Inputs'!$C$50+D85*'Key Inputs'!$C$51</f>
        <v>52636.389832791923</v>
      </c>
      <c r="E86" s="120" t="s">
        <v>199</v>
      </c>
      <c r="F86" s="121" t="s">
        <v>199</v>
      </c>
      <c r="G86" s="81" t="s">
        <v>200</v>
      </c>
      <c r="I86" s="95"/>
      <c r="J86" s="41"/>
      <c r="K86" s="41"/>
    </row>
    <row r="87" spans="2:12" s="53" customFormat="1" x14ac:dyDescent="0.2">
      <c r="B87" s="122"/>
      <c r="C87" s="114"/>
      <c r="D87" s="123"/>
      <c r="E87" s="124"/>
      <c r="F87" s="125"/>
      <c r="G87" s="54"/>
      <c r="I87" s="41"/>
      <c r="J87" s="41"/>
      <c r="K87" s="41"/>
    </row>
    <row r="88" spans="2:12" s="48" customFormat="1" x14ac:dyDescent="0.2">
      <c r="B88" s="63" t="s">
        <v>201</v>
      </c>
      <c r="C88" s="63"/>
      <c r="D88" s="63"/>
      <c r="E88" s="64"/>
      <c r="F88" s="63"/>
      <c r="G88" s="65"/>
      <c r="I88" s="50"/>
      <c r="J88" s="50"/>
      <c r="K88" s="50"/>
    </row>
    <row r="89" spans="2:12" s="53" customFormat="1" ht="6" customHeight="1" thickBot="1" x14ac:dyDescent="0.25">
      <c r="D89" s="52"/>
      <c r="E89" s="66"/>
      <c r="F89" s="66"/>
      <c r="G89" s="54"/>
      <c r="I89" s="41"/>
      <c r="J89" s="41"/>
      <c r="K89" s="41"/>
    </row>
    <row r="90" spans="2:12" s="53" customFormat="1" ht="6" customHeight="1" x14ac:dyDescent="0.2">
      <c r="B90" s="67"/>
      <c r="C90" s="68"/>
      <c r="D90" s="69"/>
      <c r="E90" s="70"/>
      <c r="F90" s="70"/>
      <c r="G90" s="71"/>
      <c r="I90" s="41"/>
      <c r="J90" s="41"/>
      <c r="K90" s="41"/>
    </row>
    <row r="91" spans="2:12" s="75" customFormat="1" ht="38.25" x14ac:dyDescent="0.2">
      <c r="B91" s="72" t="s">
        <v>136</v>
      </c>
      <c r="C91" s="73" t="s">
        <v>137</v>
      </c>
      <c r="D91" s="73" t="s">
        <v>138</v>
      </c>
      <c r="E91" s="73" t="s">
        <v>139</v>
      </c>
      <c r="F91" s="73" t="s">
        <v>140</v>
      </c>
      <c r="G91" s="74" t="s">
        <v>141</v>
      </c>
      <c r="I91" s="577"/>
      <c r="J91" s="577"/>
      <c r="K91" s="577"/>
    </row>
    <row r="92" spans="2:12" s="53" customFormat="1" ht="6" customHeight="1" thickBot="1" x14ac:dyDescent="0.25">
      <c r="B92" s="77"/>
      <c r="C92" s="78"/>
      <c r="D92" s="79"/>
      <c r="E92" s="80"/>
      <c r="F92" s="80"/>
      <c r="G92" s="81"/>
      <c r="I92" s="41"/>
      <c r="J92" s="41"/>
      <c r="K92" s="41"/>
    </row>
    <row r="93" spans="2:12" s="53" customFormat="1" ht="6" customHeight="1" x14ac:dyDescent="0.2">
      <c r="B93" s="67"/>
      <c r="C93" s="68"/>
      <c r="D93" s="69"/>
      <c r="E93" s="70"/>
      <c r="F93" s="70"/>
      <c r="G93" s="71"/>
      <c r="I93" s="509"/>
      <c r="J93" s="41"/>
      <c r="K93" s="41"/>
    </row>
    <row r="94" spans="2:12" s="53" customFormat="1" x14ac:dyDescent="0.2">
      <c r="B94" s="82" t="s">
        <v>142</v>
      </c>
      <c r="C94" s="83"/>
      <c r="D94" s="84"/>
      <c r="E94" s="66"/>
      <c r="F94" s="66"/>
      <c r="G94" s="85"/>
      <c r="H94" s="41"/>
      <c r="I94" s="510" t="s">
        <v>202</v>
      </c>
      <c r="J94" s="86"/>
      <c r="K94" s="86"/>
    </row>
    <row r="95" spans="2:12" s="94" customFormat="1" ht="15" customHeight="1" x14ac:dyDescent="0.2">
      <c r="B95" s="87" t="s">
        <v>148</v>
      </c>
      <c r="C95" s="88">
        <f>E95*$C$16</f>
        <v>0.59914257648049385</v>
      </c>
      <c r="D95" s="89">
        <f>E95*$C$18/2000</f>
        <v>0.70523435307325277</v>
      </c>
      <c r="E95" s="126">
        <f>I95*(1+'Key Inputs'!$Q$4)</f>
        <v>6.5549999999999997</v>
      </c>
      <c r="F95" s="92" t="s">
        <v>203</v>
      </c>
      <c r="G95" s="90" t="s">
        <v>204</v>
      </c>
      <c r="H95" s="91"/>
      <c r="I95" s="511">
        <v>5.7</v>
      </c>
      <c r="J95" s="91"/>
      <c r="K95" s="91"/>
      <c r="L95" s="91"/>
    </row>
    <row r="96" spans="2:12" s="94" customFormat="1" ht="15" customHeight="1" x14ac:dyDescent="0.2">
      <c r="B96" s="237" t="s">
        <v>143</v>
      </c>
      <c r="C96" s="88">
        <f>E96*$C$16</f>
        <v>0.19971419216016459</v>
      </c>
      <c r="D96" s="89">
        <f t="shared" ref="D96:D101" si="8">E96*$C$18/2000</f>
        <v>0.23507811769108422</v>
      </c>
      <c r="E96" s="126">
        <f>I96*(1+'Key Inputs'!$Q$4)</f>
        <v>2.1849999999999996</v>
      </c>
      <c r="F96" s="92" t="s">
        <v>203</v>
      </c>
      <c r="G96" s="90" t="s">
        <v>204</v>
      </c>
      <c r="H96" s="91"/>
      <c r="I96" s="511">
        <v>1.9</v>
      </c>
      <c r="J96" s="91"/>
      <c r="K96" s="91"/>
      <c r="L96" s="91"/>
    </row>
    <row r="97" spans="2:12" s="94" customFormat="1" ht="15" customHeight="1" x14ac:dyDescent="0.2">
      <c r="B97" s="237" t="s">
        <v>146</v>
      </c>
      <c r="C97" s="88">
        <f>E97*$C$16</f>
        <v>0.19971419216016459</v>
      </c>
      <c r="D97" s="89">
        <f t="shared" si="8"/>
        <v>0.23507811769108422</v>
      </c>
      <c r="E97" s="126">
        <f>I97*(1+'Key Inputs'!$Q$4)</f>
        <v>2.1849999999999996</v>
      </c>
      <c r="F97" s="92" t="s">
        <v>203</v>
      </c>
      <c r="G97" s="90" t="s">
        <v>204</v>
      </c>
      <c r="H97" s="91"/>
      <c r="I97" s="511">
        <v>1.9</v>
      </c>
      <c r="J97" s="91"/>
      <c r="K97" s="91"/>
      <c r="L97" s="91"/>
    </row>
    <row r="98" spans="2:12" s="94" customFormat="1" ht="15" customHeight="1" x14ac:dyDescent="0.2">
      <c r="B98" s="237" t="s">
        <v>147</v>
      </c>
      <c r="C98" s="88">
        <f>E98*$C$16</f>
        <v>0.19971419216016459</v>
      </c>
      <c r="D98" s="89">
        <f t="shared" si="8"/>
        <v>0.23507811769108422</v>
      </c>
      <c r="E98" s="126">
        <f>I98*(1+'Key Inputs'!$Q$4)</f>
        <v>2.1849999999999996</v>
      </c>
      <c r="F98" s="92" t="s">
        <v>203</v>
      </c>
      <c r="G98" s="90" t="s">
        <v>204</v>
      </c>
      <c r="H98" s="91"/>
      <c r="I98" s="511">
        <v>1.9</v>
      </c>
      <c r="J98" s="91"/>
      <c r="K98" s="91"/>
      <c r="L98" s="91"/>
    </row>
    <row r="99" spans="2:12" s="94" customFormat="1" ht="15" customHeight="1" x14ac:dyDescent="0.2">
      <c r="B99" s="237" t="s">
        <v>149</v>
      </c>
      <c r="C99" s="116">
        <f>E99*$C$15</f>
        <v>3.5171999999999999</v>
      </c>
      <c r="D99" s="89">
        <f>E99*'Key Inputs'!$D$31*$C$18/2000</f>
        <v>4.1399999999999997</v>
      </c>
      <c r="E99" s="519">
        <f>'Key Inputs'!C41</f>
        <v>3.5999999999999997E-2</v>
      </c>
      <c r="F99" s="92" t="s">
        <v>205</v>
      </c>
      <c r="G99" s="93" t="s">
        <v>206</v>
      </c>
      <c r="H99" s="91"/>
      <c r="I99" s="511"/>
      <c r="J99" s="91"/>
      <c r="K99" s="91"/>
      <c r="L99" s="91"/>
    </row>
    <row r="100" spans="2:12" s="94" customFormat="1" ht="15" customHeight="1" x14ac:dyDescent="0.2">
      <c r="B100" s="237" t="s">
        <v>150</v>
      </c>
      <c r="C100" s="88">
        <f>E100*$C$16</f>
        <v>0.57812002993731859</v>
      </c>
      <c r="D100" s="89">
        <f t="shared" si="8"/>
        <v>0.68048928805313857</v>
      </c>
      <c r="E100" s="126">
        <f>I100*(1+'Key Inputs'!$Q$4)</f>
        <v>6.3249999999999993</v>
      </c>
      <c r="F100" s="92" t="s">
        <v>203</v>
      </c>
      <c r="G100" s="90" t="s">
        <v>204</v>
      </c>
      <c r="H100" s="91"/>
      <c r="I100" s="511">
        <v>5.5</v>
      </c>
      <c r="J100" s="91"/>
      <c r="K100" s="545">
        <f>E100/'Key Inputs'!D31</f>
        <v>5.9172981569838136E-3</v>
      </c>
      <c r="L100" s="544" t="s">
        <v>207</v>
      </c>
    </row>
    <row r="101" spans="2:12" s="94" customFormat="1" ht="15" customHeight="1" x14ac:dyDescent="0.2">
      <c r="B101" s="237" t="s">
        <v>151</v>
      </c>
      <c r="C101" s="88">
        <f>E101*$C$16</f>
        <v>6.3067639629525662E-2</v>
      </c>
      <c r="D101" s="89">
        <f t="shared" si="8"/>
        <v>7.4235195060342402E-2</v>
      </c>
      <c r="E101" s="126">
        <f>I101*(1+'Key Inputs'!$Q$4)</f>
        <v>0.69</v>
      </c>
      <c r="F101" s="92" t="s">
        <v>203</v>
      </c>
      <c r="G101" s="90" t="s">
        <v>204</v>
      </c>
      <c r="H101" s="91"/>
      <c r="I101" s="511">
        <v>0.6</v>
      </c>
      <c r="J101" s="91"/>
      <c r="K101" s="91"/>
      <c r="L101" s="91"/>
    </row>
    <row r="102" spans="2:12" s="94" customFormat="1" ht="15" customHeight="1" x14ac:dyDescent="0.2">
      <c r="B102" s="237" t="s">
        <v>152</v>
      </c>
      <c r="C102" s="116">
        <f>E102*$C$15</f>
        <v>3.5410474194823309</v>
      </c>
      <c r="D102" s="89">
        <f>E102*'Key Inputs'!$D$31*$C$18/2000</f>
        <v>4.1680701457570937</v>
      </c>
      <c r="E102" s="519">
        <f>'Key Inputs'!$C$42</f>
        <v>3.6244088223974728E-2</v>
      </c>
      <c r="F102" s="92" t="s">
        <v>205</v>
      </c>
      <c r="G102" s="93" t="s">
        <v>206</v>
      </c>
      <c r="H102" s="91"/>
      <c r="I102" s="511"/>
      <c r="J102" s="91"/>
      <c r="K102" s="91"/>
      <c r="L102" s="91"/>
    </row>
    <row r="103" spans="2:12" s="94" customFormat="1" ht="15" customHeight="1" x14ac:dyDescent="0.2">
      <c r="B103" s="87"/>
      <c r="C103" s="88"/>
      <c r="D103" s="89"/>
      <c r="E103" s="520"/>
      <c r="F103" s="92"/>
      <c r="G103" s="90"/>
      <c r="H103" s="91"/>
      <c r="I103" s="511"/>
      <c r="J103" s="91"/>
      <c r="K103" s="91"/>
      <c r="L103" s="91"/>
    </row>
    <row r="104" spans="2:12" s="53" customFormat="1" x14ac:dyDescent="0.2">
      <c r="B104" s="82" t="s">
        <v>154</v>
      </c>
      <c r="C104" s="83"/>
      <c r="D104" s="97"/>
      <c r="E104" s="98"/>
      <c r="F104" s="99"/>
      <c r="G104" s="85"/>
      <c r="I104" s="512"/>
      <c r="J104" s="41"/>
      <c r="K104" s="41"/>
    </row>
    <row r="105" spans="2:12" s="53" customFormat="1" x14ac:dyDescent="0.2">
      <c r="B105" s="100" t="s">
        <v>155</v>
      </c>
      <c r="C105" s="101"/>
      <c r="D105" s="97"/>
      <c r="E105" s="89"/>
      <c r="F105" s="102"/>
      <c r="G105" s="85"/>
      <c r="I105" s="512"/>
      <c r="J105" s="41"/>
      <c r="K105" s="41"/>
    </row>
    <row r="106" spans="2:12" s="53" customFormat="1" x14ac:dyDescent="0.2">
      <c r="B106" s="236" t="s">
        <v>156</v>
      </c>
      <c r="C106" s="107">
        <f t="shared" ref="C106:C129" si="9">E106*$C$16</f>
        <v>2.5227055851810269E-6</v>
      </c>
      <c r="D106" s="108">
        <f t="shared" ref="D106:D123" si="10">E106*$C$18/2000</f>
        <v>2.969407802413696E-6</v>
      </c>
      <c r="E106" s="108">
        <f>I106*(1+'Key Inputs'!$Q$4)</f>
        <v>2.76E-5</v>
      </c>
      <c r="F106" s="66" t="s">
        <v>203</v>
      </c>
      <c r="G106" s="85" t="s">
        <v>208</v>
      </c>
      <c r="I106" s="238">
        <v>2.4000000000000001E-5</v>
      </c>
      <c r="J106" s="41"/>
      <c r="K106" s="41"/>
    </row>
    <row r="107" spans="2:12" s="53" customFormat="1" x14ac:dyDescent="0.2">
      <c r="B107" s="236" t="s">
        <v>157</v>
      </c>
      <c r="C107" s="107">
        <f t="shared" si="9"/>
        <v>1.89202918888577E-7</v>
      </c>
      <c r="D107" s="108">
        <f t="shared" si="10"/>
        <v>2.2270558518102718E-7</v>
      </c>
      <c r="E107" s="108">
        <f>I107*(1+'Key Inputs'!$Q$4)</f>
        <v>2.0699999999999997E-6</v>
      </c>
      <c r="F107" s="66" t="s">
        <v>203</v>
      </c>
      <c r="G107" s="85" t="s">
        <v>208</v>
      </c>
      <c r="I107" s="238">
        <v>1.7999999999999999E-6</v>
      </c>
      <c r="J107" s="41"/>
      <c r="K107" s="41"/>
    </row>
    <row r="108" spans="2:12" s="53" customFormat="1" x14ac:dyDescent="0.2">
      <c r="B108" s="236" t="s">
        <v>158</v>
      </c>
      <c r="C108" s="107">
        <f t="shared" si="9"/>
        <v>1.6818037234540177E-6</v>
      </c>
      <c r="D108" s="108">
        <f t="shared" si="10"/>
        <v>1.9796052016091304E-6</v>
      </c>
      <c r="E108" s="108">
        <f>I108*(1+'Key Inputs'!$Q$4)</f>
        <v>1.8399999999999997E-5</v>
      </c>
      <c r="F108" s="66" t="s">
        <v>203</v>
      </c>
      <c r="G108" s="85" t="s">
        <v>208</v>
      </c>
      <c r="I108" s="238">
        <v>1.5999999999999999E-5</v>
      </c>
      <c r="J108" s="41"/>
      <c r="K108" s="41"/>
    </row>
    <row r="109" spans="2:12" s="53" customFormat="1" x14ac:dyDescent="0.2">
      <c r="B109" s="236" t="s">
        <v>159</v>
      </c>
      <c r="C109" s="107">
        <f t="shared" si="9"/>
        <v>1.89202918888577E-7</v>
      </c>
      <c r="D109" s="108">
        <f t="shared" si="10"/>
        <v>2.2270558518102718E-7</v>
      </c>
      <c r="E109" s="108">
        <f>I109*(1+'Key Inputs'!$Q$4)</f>
        <v>2.0699999999999997E-6</v>
      </c>
      <c r="F109" s="66" t="s">
        <v>203</v>
      </c>
      <c r="G109" s="85" t="s">
        <v>208</v>
      </c>
      <c r="I109" s="238">
        <v>1.7999999999999999E-6</v>
      </c>
      <c r="J109" s="41"/>
      <c r="K109" s="41"/>
    </row>
    <row r="110" spans="2:12" s="53" customFormat="1" x14ac:dyDescent="0.2">
      <c r="B110" s="236" t="s">
        <v>160</v>
      </c>
      <c r="C110" s="107">
        <f t="shared" si="9"/>
        <v>1.89202918888577E-7</v>
      </c>
      <c r="D110" s="108">
        <f t="shared" si="10"/>
        <v>2.2270558518102718E-7</v>
      </c>
      <c r="E110" s="108">
        <f>I110*(1+'Key Inputs'!$Q$4)</f>
        <v>2.0699999999999997E-6</v>
      </c>
      <c r="F110" s="66" t="s">
        <v>203</v>
      </c>
      <c r="G110" s="85" t="s">
        <v>208</v>
      </c>
      <c r="I110" s="238">
        <v>1.7999999999999999E-6</v>
      </c>
      <c r="J110" s="41"/>
      <c r="K110" s="41"/>
    </row>
    <row r="111" spans="2:12" s="53" customFormat="1" x14ac:dyDescent="0.2">
      <c r="B111" s="236" t="s">
        <v>161</v>
      </c>
      <c r="C111" s="107">
        <f t="shared" si="9"/>
        <v>2.5227055851810267E-7</v>
      </c>
      <c r="D111" s="108">
        <f t="shared" si="10"/>
        <v>2.9694078024136959E-7</v>
      </c>
      <c r="E111" s="108">
        <f>I111*(1+'Key Inputs'!$Q$4)</f>
        <v>2.7599999999999998E-6</v>
      </c>
      <c r="F111" s="66" t="s">
        <v>203</v>
      </c>
      <c r="G111" s="85" t="s">
        <v>208</v>
      </c>
      <c r="I111" s="238">
        <v>2.3999999999999999E-6</v>
      </c>
      <c r="J111" s="41"/>
      <c r="K111" s="41"/>
    </row>
    <row r="112" spans="2:12" s="53" customFormat="1" x14ac:dyDescent="0.2">
      <c r="B112" s="236" t="s">
        <v>162</v>
      </c>
      <c r="C112" s="107">
        <f t="shared" si="9"/>
        <v>1.89202918888577E-7</v>
      </c>
      <c r="D112" s="108">
        <f t="shared" si="10"/>
        <v>2.2270558518102718E-7</v>
      </c>
      <c r="E112" s="108">
        <f>I112*(1+'Key Inputs'!$Q$4)</f>
        <v>2.0699999999999997E-6</v>
      </c>
      <c r="F112" s="66" t="s">
        <v>203</v>
      </c>
      <c r="G112" s="85" t="s">
        <v>208</v>
      </c>
      <c r="I112" s="238">
        <v>1.7999999999999999E-6</v>
      </c>
      <c r="J112" s="41"/>
      <c r="K112" s="41"/>
    </row>
    <row r="113" spans="2:11" s="53" customFormat="1" x14ac:dyDescent="0.2">
      <c r="B113" s="236" t="s">
        <v>163</v>
      </c>
      <c r="C113" s="107">
        <f t="shared" si="9"/>
        <v>2.2073673870333981E-4</v>
      </c>
      <c r="D113" s="108">
        <f t="shared" si="10"/>
        <v>2.5982318271119834E-4</v>
      </c>
      <c r="E113" s="108">
        <f>I113*(1+'Key Inputs'!$Q$4)</f>
        <v>2.4149999999999996E-3</v>
      </c>
      <c r="F113" s="66" t="s">
        <v>203</v>
      </c>
      <c r="G113" s="85" t="s">
        <v>208</v>
      </c>
      <c r="I113" s="238">
        <v>2.0999999999999999E-3</v>
      </c>
      <c r="J113" s="41"/>
      <c r="K113" s="41"/>
    </row>
    <row r="114" spans="2:11" s="53" customFormat="1" x14ac:dyDescent="0.2">
      <c r="B114" s="236" t="s">
        <v>164</v>
      </c>
      <c r="C114" s="107">
        <f t="shared" si="9"/>
        <v>1.2613527925905133E-7</v>
      </c>
      <c r="D114" s="108">
        <f t="shared" si="10"/>
        <v>1.484703901206848E-7</v>
      </c>
      <c r="E114" s="108">
        <f>I114*(1+'Key Inputs'!$Q$4)</f>
        <v>1.3799999999999999E-6</v>
      </c>
      <c r="F114" s="66" t="s">
        <v>203</v>
      </c>
      <c r="G114" s="85" t="s">
        <v>208</v>
      </c>
      <c r="I114" s="238">
        <v>1.1999999999999999E-6</v>
      </c>
      <c r="J114" s="41"/>
      <c r="K114" s="41"/>
    </row>
    <row r="115" spans="2:11" s="53" customFormat="1" x14ac:dyDescent="0.2">
      <c r="B115" s="236" t="s">
        <v>165</v>
      </c>
      <c r="C115" s="107">
        <f t="shared" si="9"/>
        <v>1.89202918888577E-7</v>
      </c>
      <c r="D115" s="108">
        <f t="shared" si="10"/>
        <v>2.2270558518102718E-7</v>
      </c>
      <c r="E115" s="108">
        <f>I115*(1+'Key Inputs'!$Q$4)</f>
        <v>2.0699999999999997E-6</v>
      </c>
      <c r="F115" s="66" t="s">
        <v>203</v>
      </c>
      <c r="G115" s="85" t="s">
        <v>208</v>
      </c>
      <c r="I115" s="238">
        <v>1.7999999999999999E-6</v>
      </c>
      <c r="J115" s="41"/>
      <c r="K115" s="41"/>
    </row>
    <row r="116" spans="2:11" s="53" customFormat="1" x14ac:dyDescent="0.2">
      <c r="B116" s="236" t="s">
        <v>166</v>
      </c>
      <c r="C116" s="107">
        <f t="shared" si="9"/>
        <v>1.2613527925905133E-7</v>
      </c>
      <c r="D116" s="108">
        <f t="shared" si="10"/>
        <v>1.484703901206848E-7</v>
      </c>
      <c r="E116" s="108">
        <f>I116*(1+'Key Inputs'!$Q$4)</f>
        <v>1.3799999999999999E-6</v>
      </c>
      <c r="F116" s="66" t="s">
        <v>203</v>
      </c>
      <c r="G116" s="85" t="s">
        <v>208</v>
      </c>
      <c r="I116" s="238">
        <v>1.1999999999999999E-6</v>
      </c>
      <c r="J116" s="41"/>
      <c r="K116" s="41"/>
    </row>
    <row r="117" spans="2:11" s="53" customFormat="1" x14ac:dyDescent="0.2">
      <c r="B117" s="236" t="s">
        <v>167</v>
      </c>
      <c r="C117" s="107">
        <f t="shared" si="9"/>
        <v>1.89202918888577E-7</v>
      </c>
      <c r="D117" s="108">
        <f t="shared" si="10"/>
        <v>2.2270558518102718E-7</v>
      </c>
      <c r="E117" s="108">
        <f>I117*(1+'Key Inputs'!$Q$4)</f>
        <v>2.0699999999999997E-6</v>
      </c>
      <c r="F117" s="66" t="s">
        <v>203</v>
      </c>
      <c r="G117" s="85" t="s">
        <v>208</v>
      </c>
      <c r="I117" s="238">
        <v>1.7999999999999999E-6</v>
      </c>
      <c r="J117" s="41"/>
      <c r="K117" s="41"/>
    </row>
    <row r="118" spans="2:11" s="53" customFormat="1" x14ac:dyDescent="0.2">
      <c r="B118" s="236" t="s">
        <v>168</v>
      </c>
      <c r="C118" s="107">
        <f t="shared" si="9"/>
        <v>1.89202918888577E-7</v>
      </c>
      <c r="D118" s="108">
        <f t="shared" si="10"/>
        <v>2.2270558518102718E-7</v>
      </c>
      <c r="E118" s="108">
        <f>I118*(1+'Key Inputs'!$Q$4)</f>
        <v>2.0699999999999997E-6</v>
      </c>
      <c r="F118" s="66" t="s">
        <v>203</v>
      </c>
      <c r="G118" s="85" t="s">
        <v>208</v>
      </c>
      <c r="I118" s="238">
        <v>1.7999999999999999E-6</v>
      </c>
      <c r="J118" s="41"/>
      <c r="K118" s="41"/>
    </row>
    <row r="119" spans="2:11" s="53" customFormat="1" x14ac:dyDescent="0.2">
      <c r="B119" s="236" t="s">
        <v>169</v>
      </c>
      <c r="C119" s="107">
        <f t="shared" si="9"/>
        <v>1.2613527925905133E-7</v>
      </c>
      <c r="D119" s="108">
        <f t="shared" si="10"/>
        <v>1.484703901206848E-7</v>
      </c>
      <c r="E119" s="108">
        <f>I119*(1+'Key Inputs'!$Q$4)</f>
        <v>1.3799999999999999E-6</v>
      </c>
      <c r="F119" s="66" t="s">
        <v>203</v>
      </c>
      <c r="G119" s="85" t="s">
        <v>208</v>
      </c>
      <c r="I119" s="238">
        <v>1.1999999999999999E-6</v>
      </c>
      <c r="J119" s="41"/>
      <c r="K119" s="41"/>
    </row>
    <row r="120" spans="2:11" s="53" customFormat="1" x14ac:dyDescent="0.2">
      <c r="B120" s="236" t="s">
        <v>170</v>
      </c>
      <c r="C120" s="107">
        <f t="shared" si="9"/>
        <v>1.2613527925905131E-4</v>
      </c>
      <c r="D120" s="108">
        <f t="shared" si="10"/>
        <v>1.4847039012068477E-4</v>
      </c>
      <c r="E120" s="108">
        <f>I120*(1+'Key Inputs'!$Q$4)</f>
        <v>1.3799999999999997E-3</v>
      </c>
      <c r="F120" s="66" t="s">
        <v>203</v>
      </c>
      <c r="G120" s="85" t="s">
        <v>208</v>
      </c>
      <c r="I120" s="238">
        <v>1.1999999999999999E-3</v>
      </c>
      <c r="J120" s="41"/>
      <c r="K120" s="41"/>
    </row>
    <row r="121" spans="2:11" s="53" customFormat="1" x14ac:dyDescent="0.2">
      <c r="B121" s="236" t="s">
        <v>171</v>
      </c>
      <c r="C121" s="107">
        <f t="shared" si="9"/>
        <v>3.1533819814762836E-7</v>
      </c>
      <c r="D121" s="108">
        <f t="shared" si="10"/>
        <v>3.71175975301712E-7</v>
      </c>
      <c r="E121" s="108">
        <f>I121*(1+'Key Inputs'!$Q$4)</f>
        <v>3.45E-6</v>
      </c>
      <c r="F121" s="66" t="s">
        <v>203</v>
      </c>
      <c r="G121" s="85" t="s">
        <v>208</v>
      </c>
      <c r="I121" s="238">
        <v>3.0000000000000001E-6</v>
      </c>
      <c r="J121" s="41"/>
      <c r="K121" s="41"/>
    </row>
    <row r="122" spans="2:11" s="53" customFormat="1" x14ac:dyDescent="0.2">
      <c r="B122" s="236" t="s">
        <v>172</v>
      </c>
      <c r="C122" s="107">
        <f t="shared" si="9"/>
        <v>2.9431565160445309E-7</v>
      </c>
      <c r="D122" s="108">
        <f t="shared" ref="D122" si="11">E122*$C$18/2000</f>
        <v>3.4643091028159788E-7</v>
      </c>
      <c r="E122" s="108">
        <f>I122*(1+'Key Inputs'!$Q$4)</f>
        <v>3.2199999999999997E-6</v>
      </c>
      <c r="F122" s="66" t="s">
        <v>203</v>
      </c>
      <c r="G122" s="85" t="s">
        <v>208</v>
      </c>
      <c r="I122" s="238">
        <v>2.7999999999999999E-6</v>
      </c>
      <c r="J122" s="41"/>
      <c r="K122" s="41"/>
    </row>
    <row r="123" spans="2:11" s="53" customFormat="1" x14ac:dyDescent="0.2">
      <c r="B123" s="236" t="s">
        <v>173</v>
      </c>
      <c r="C123" s="107">
        <f t="shared" si="9"/>
        <v>7.8834549536907078E-3</v>
      </c>
      <c r="D123" s="126">
        <f t="shared" si="10"/>
        <v>9.2793993825428002E-3</v>
      </c>
      <c r="E123" s="89">
        <f>I123*(1+'Key Inputs'!$Q$4)</f>
        <v>8.6249999999999993E-2</v>
      </c>
      <c r="F123" s="66" t="s">
        <v>203</v>
      </c>
      <c r="G123" s="85" t="s">
        <v>208</v>
      </c>
      <c r="I123" s="238">
        <v>7.4999999999999997E-2</v>
      </c>
      <c r="J123" s="41"/>
      <c r="K123" s="41"/>
    </row>
    <row r="124" spans="2:11" s="53" customFormat="1" x14ac:dyDescent="0.2">
      <c r="B124" s="103" t="s">
        <v>174</v>
      </c>
      <c r="C124" s="107">
        <f t="shared" si="9"/>
        <v>0.18920291888857702</v>
      </c>
      <c r="D124" s="126">
        <f t="shared" ref="D124" si="12">E124*$C$18/2000</f>
        <v>0.2227055851810272</v>
      </c>
      <c r="E124" s="89">
        <f>I124*(1+'Key Inputs'!$Q$4)</f>
        <v>2.0699999999999998</v>
      </c>
      <c r="F124" s="66" t="s">
        <v>203</v>
      </c>
      <c r="G124" s="85" t="s">
        <v>208</v>
      </c>
      <c r="I124" s="239">
        <v>1.8</v>
      </c>
      <c r="J124" s="41"/>
      <c r="K124" s="41"/>
    </row>
    <row r="125" spans="2:11" s="53" customFormat="1" x14ac:dyDescent="0.2">
      <c r="B125" s="236" t="s">
        <v>175</v>
      </c>
      <c r="C125" s="107">
        <f t="shared" si="9"/>
        <v>1.2193076995041628E-9</v>
      </c>
      <c r="D125" s="108">
        <f t="shared" ref="D125:D129" si="13">E125*$C$18/2000</f>
        <v>1.4352137711666199E-9</v>
      </c>
      <c r="E125" s="108">
        <f>I125*(1+'Key Inputs'!$Q$4)</f>
        <v>1.3339999999999999E-8</v>
      </c>
      <c r="F125" s="66" t="s">
        <v>203</v>
      </c>
      <c r="G125" s="85" t="s">
        <v>208</v>
      </c>
      <c r="I125" s="238">
        <v>1.16E-8</v>
      </c>
      <c r="J125" s="41"/>
      <c r="K125" s="41"/>
    </row>
    <row r="126" spans="2:11" s="53" customFormat="1" x14ac:dyDescent="0.2">
      <c r="B126" s="236" t="s">
        <v>176</v>
      </c>
      <c r="C126" s="107">
        <f t="shared" si="9"/>
        <v>4.1204191224623431E-7</v>
      </c>
      <c r="D126" s="108">
        <f t="shared" si="13"/>
        <v>4.8500327439423691E-7</v>
      </c>
      <c r="E126" s="108">
        <f>I126*(1+'Key Inputs'!$Q$4)</f>
        <v>4.507999999999999E-6</v>
      </c>
      <c r="F126" s="66" t="s">
        <v>203</v>
      </c>
      <c r="G126" s="85" t="s">
        <v>208</v>
      </c>
      <c r="I126" s="238">
        <v>3.9199999999999997E-6</v>
      </c>
      <c r="J126" s="41"/>
      <c r="K126" s="41"/>
    </row>
    <row r="127" spans="2:11" s="53" customFormat="1" x14ac:dyDescent="0.2">
      <c r="B127" s="236" t="s">
        <v>177</v>
      </c>
      <c r="C127" s="107">
        <f t="shared" si="9"/>
        <v>1.1457287866030497E-8</v>
      </c>
      <c r="D127" s="108">
        <f t="shared" si="13"/>
        <v>1.3486060435962203E-8</v>
      </c>
      <c r="E127" s="108">
        <f>I127*(1+'Key Inputs'!$Q$4)</f>
        <v>1.2534999999999999E-7</v>
      </c>
      <c r="F127" s="66" t="s">
        <v>203</v>
      </c>
      <c r="G127" s="85" t="s">
        <v>208</v>
      </c>
      <c r="I127" s="238">
        <v>1.09E-7</v>
      </c>
      <c r="J127" s="41"/>
      <c r="K127" s="41"/>
    </row>
    <row r="128" spans="2:11" s="53" customFormat="1" x14ac:dyDescent="0.2">
      <c r="B128" s="236" t="s">
        <v>178</v>
      </c>
      <c r="C128" s="107">
        <f t="shared" si="9"/>
        <v>3.3741187201796239E-9</v>
      </c>
      <c r="D128" s="108">
        <f t="shared" si="13"/>
        <v>3.9715829357283197E-9</v>
      </c>
      <c r="E128" s="108">
        <f>I128*(1+'Key Inputs'!$Q$4)</f>
        <v>3.6915000000000003E-8</v>
      </c>
      <c r="F128" s="66" t="s">
        <v>203</v>
      </c>
      <c r="G128" s="85" t="s">
        <v>208</v>
      </c>
      <c r="I128" s="238">
        <v>3.2100000000000003E-8</v>
      </c>
      <c r="J128" s="41"/>
      <c r="K128" s="41"/>
    </row>
    <row r="129" spans="2:11" s="53" customFormat="1" x14ac:dyDescent="0.2">
      <c r="B129" s="236" t="s">
        <v>179</v>
      </c>
      <c r="C129" s="107">
        <f t="shared" si="9"/>
        <v>2.2914575732060994E-6</v>
      </c>
      <c r="D129" s="108">
        <f t="shared" si="13"/>
        <v>2.6972120871924405E-6</v>
      </c>
      <c r="E129" s="108">
        <f>I129*(1+'Key Inputs'!$Q$4)</f>
        <v>2.5069999999999999E-5</v>
      </c>
      <c r="F129" s="66" t="s">
        <v>203</v>
      </c>
      <c r="G129" s="85" t="s">
        <v>208</v>
      </c>
      <c r="I129" s="238">
        <v>2.1800000000000001E-5</v>
      </c>
      <c r="J129" s="41"/>
      <c r="K129" s="41"/>
    </row>
    <row r="130" spans="2:11" s="53" customFormat="1" x14ac:dyDescent="0.2">
      <c r="B130" s="100"/>
      <c r="C130" s="105"/>
      <c r="D130" s="106"/>
      <c r="E130" s="89"/>
      <c r="F130" s="102"/>
      <c r="G130" s="85"/>
      <c r="I130" s="509"/>
      <c r="J130" s="41"/>
      <c r="K130" s="41"/>
    </row>
    <row r="131" spans="2:11" s="53" customFormat="1" x14ac:dyDescent="0.2">
      <c r="B131" s="100" t="s">
        <v>180</v>
      </c>
      <c r="C131" s="105"/>
      <c r="D131" s="106"/>
      <c r="E131" s="89"/>
      <c r="F131" s="102"/>
      <c r="G131" s="85"/>
      <c r="I131" s="509"/>
      <c r="J131" s="41"/>
      <c r="K131" s="41"/>
    </row>
    <row r="132" spans="2:11" s="53" customFormat="1" x14ac:dyDescent="0.2">
      <c r="B132" s="103" t="s">
        <v>183</v>
      </c>
      <c r="C132" s="107">
        <f t="shared" ref="C132" si="14">E132*$C$16</f>
        <v>0.33636074469080357</v>
      </c>
      <c r="D132" s="126">
        <f t="shared" ref="D132" si="15">E132*$C$18/2000</f>
        <v>0.39592104032182612</v>
      </c>
      <c r="E132" s="89">
        <f>I132*(1+'Key Inputs'!$Q$4)</f>
        <v>3.6799999999999997</v>
      </c>
      <c r="F132" s="102" t="s">
        <v>203</v>
      </c>
      <c r="G132" s="85" t="s">
        <v>209</v>
      </c>
      <c r="I132" s="239">
        <v>3.2</v>
      </c>
      <c r="J132" s="41"/>
      <c r="K132" s="41"/>
    </row>
    <row r="133" spans="2:11" s="53" customFormat="1" x14ac:dyDescent="0.2">
      <c r="B133" s="100"/>
      <c r="C133" s="105"/>
      <c r="D133" s="106"/>
      <c r="E133" s="89"/>
      <c r="F133" s="102"/>
      <c r="G133" s="85"/>
      <c r="I133" s="240"/>
      <c r="J133" s="41"/>
      <c r="K133" s="41"/>
    </row>
    <row r="134" spans="2:11" s="53" customFormat="1" x14ac:dyDescent="0.2">
      <c r="B134" s="100" t="s">
        <v>184</v>
      </c>
      <c r="C134" s="105"/>
      <c r="D134" s="106"/>
      <c r="E134" s="89"/>
      <c r="F134" s="102"/>
      <c r="G134" s="85"/>
      <c r="I134" s="240"/>
      <c r="J134" s="41"/>
      <c r="K134" s="41"/>
    </row>
    <row r="135" spans="2:11" s="53" customFormat="1" x14ac:dyDescent="0.2">
      <c r="B135" s="103" t="s">
        <v>66</v>
      </c>
      <c r="C135" s="107">
        <f t="shared" ref="C135:C144" si="16">E135*$C$16</f>
        <v>5.2556366357938062E-5</v>
      </c>
      <c r="D135" s="108">
        <f t="shared" ref="D135" si="17">E135*$C$18/2000</f>
        <v>6.1862662550285331E-5</v>
      </c>
      <c r="E135" s="108">
        <f>I135*(1+'Key Inputs'!$Q$4)</f>
        <v>5.7499999999999999E-4</v>
      </c>
      <c r="F135" s="66" t="s">
        <v>203</v>
      </c>
      <c r="G135" s="85" t="s">
        <v>204</v>
      </c>
      <c r="I135" s="238">
        <v>5.0000000000000001E-4</v>
      </c>
      <c r="J135" s="41"/>
      <c r="K135" s="41"/>
    </row>
    <row r="136" spans="2:11" s="53" customFormat="1" x14ac:dyDescent="0.2">
      <c r="B136" s="236" t="s">
        <v>185</v>
      </c>
      <c r="C136" s="107">
        <f t="shared" si="16"/>
        <v>1.3454429787632142E-7</v>
      </c>
      <c r="D136" s="108">
        <f t="shared" ref="D136:D144" si="18">E136*$C$18/2000</f>
        <v>1.5836841612873043E-7</v>
      </c>
      <c r="E136" s="108">
        <f>I136*(1+'Key Inputs'!$Q$4)</f>
        <v>1.4719999999999998E-6</v>
      </c>
      <c r="F136" s="66" t="s">
        <v>203</v>
      </c>
      <c r="G136" s="85" t="s">
        <v>210</v>
      </c>
      <c r="I136" s="238">
        <v>1.28E-6</v>
      </c>
      <c r="J136" s="41"/>
      <c r="K136" s="41"/>
    </row>
    <row r="137" spans="2:11" s="53" customFormat="1" x14ac:dyDescent="0.2">
      <c r="B137" s="236" t="s">
        <v>186</v>
      </c>
      <c r="C137" s="107">
        <f t="shared" si="16"/>
        <v>8.0936804191224606E-9</v>
      </c>
      <c r="D137" s="108">
        <f t="shared" si="18"/>
        <v>9.5268500327439413E-9</v>
      </c>
      <c r="E137" s="108">
        <f>I137*(1+'Key Inputs'!$Q$4)</f>
        <v>8.8549999999999996E-8</v>
      </c>
      <c r="F137" s="66" t="s">
        <v>203</v>
      </c>
      <c r="G137" s="85" t="s">
        <v>210</v>
      </c>
      <c r="I137" s="238">
        <v>7.7000000000000001E-8</v>
      </c>
      <c r="J137" s="41"/>
      <c r="K137" s="41"/>
    </row>
    <row r="138" spans="2:11" s="53" customFormat="1" x14ac:dyDescent="0.2">
      <c r="B138" s="236" t="s">
        <v>187</v>
      </c>
      <c r="C138" s="107">
        <f t="shared" si="16"/>
        <v>7.4209589297408533E-7</v>
      </c>
      <c r="D138" s="108">
        <f t="shared" si="18"/>
        <v>8.7350079521002892E-7</v>
      </c>
      <c r="E138" s="108">
        <f>I138*(1+'Key Inputs'!$Q$4)</f>
        <v>8.1189999999999997E-6</v>
      </c>
      <c r="F138" s="66" t="s">
        <v>203</v>
      </c>
      <c r="G138" s="85" t="s">
        <v>210</v>
      </c>
      <c r="I138" s="238">
        <v>7.0600000000000002E-6</v>
      </c>
      <c r="J138" s="41"/>
      <c r="K138" s="41"/>
    </row>
    <row r="139" spans="2:11" s="53" customFormat="1" x14ac:dyDescent="0.2">
      <c r="B139" s="236" t="s">
        <v>188</v>
      </c>
      <c r="C139" s="107">
        <f t="shared" si="16"/>
        <v>9.4496346711572629E-7</v>
      </c>
      <c r="D139" s="108">
        <f t="shared" si="18"/>
        <v>1.1122906726541303E-6</v>
      </c>
      <c r="E139" s="108">
        <f>I139*(1+'Key Inputs'!$Q$4)</f>
        <v>1.0338499999999999E-5</v>
      </c>
      <c r="F139" s="66" t="s">
        <v>203</v>
      </c>
      <c r="G139" s="85" t="s">
        <v>210</v>
      </c>
      <c r="I139" s="238">
        <v>8.9900000000000003E-6</v>
      </c>
      <c r="J139" s="41"/>
      <c r="K139" s="41"/>
    </row>
    <row r="140" spans="2:11" s="53" customFormat="1" x14ac:dyDescent="0.2">
      <c r="B140" s="236" t="s">
        <v>189</v>
      </c>
      <c r="C140" s="107">
        <f t="shared" si="16"/>
        <v>5.665576293385723E-8</v>
      </c>
      <c r="D140" s="108">
        <f t="shared" si="18"/>
        <v>6.6687950229207591E-8</v>
      </c>
      <c r="E140" s="108">
        <f>I140*(1+'Key Inputs'!$Q$4)</f>
        <v>6.1984999999999998E-7</v>
      </c>
      <c r="F140" s="66" t="s">
        <v>203</v>
      </c>
      <c r="G140" s="85" t="s">
        <v>210</v>
      </c>
      <c r="I140" s="238">
        <v>5.3900000000000005E-7</v>
      </c>
      <c r="J140" s="41"/>
      <c r="K140" s="41"/>
    </row>
    <row r="141" spans="2:11" s="53" customFormat="1" x14ac:dyDescent="0.2">
      <c r="B141" s="236" t="s">
        <v>190</v>
      </c>
      <c r="C141" s="107">
        <f t="shared" si="16"/>
        <v>2.5647506782673775E-7</v>
      </c>
      <c r="D141" s="108">
        <f t="shared" si="18"/>
        <v>3.0188979324539244E-7</v>
      </c>
      <c r="E141" s="108">
        <f>I141*(1+'Key Inputs'!$Q$4)</f>
        <v>2.8059999999999999E-6</v>
      </c>
      <c r="F141" s="66" t="s">
        <v>203</v>
      </c>
      <c r="G141" s="85" t="s">
        <v>210</v>
      </c>
      <c r="I141" s="238">
        <v>2.4399999999999999E-6</v>
      </c>
      <c r="J141" s="41"/>
      <c r="K141" s="41"/>
    </row>
    <row r="142" spans="2:11" s="53" customFormat="1" x14ac:dyDescent="0.2">
      <c r="B142" s="236" t="s">
        <v>191</v>
      </c>
      <c r="C142" s="107">
        <f t="shared" si="16"/>
        <v>2.7329310506127787E-5</v>
      </c>
      <c r="D142" s="108">
        <f t="shared" si="18"/>
        <v>3.2168584526148371E-5</v>
      </c>
      <c r="E142" s="108">
        <f>I142*(1+'Key Inputs'!$Q$4)</f>
        <v>2.9899999999999995E-4</v>
      </c>
      <c r="F142" s="66" t="s">
        <v>203</v>
      </c>
      <c r="G142" s="85" t="s">
        <v>210</v>
      </c>
      <c r="I142" s="238">
        <v>2.5999999999999998E-4</v>
      </c>
      <c r="J142" s="41"/>
      <c r="K142" s="41"/>
    </row>
    <row r="143" spans="2:11" s="53" customFormat="1" x14ac:dyDescent="0.2">
      <c r="B143" s="236" t="s">
        <v>192</v>
      </c>
      <c r="C143" s="107">
        <f t="shared" si="16"/>
        <v>1.4190218916643275E-6</v>
      </c>
      <c r="D143" s="108">
        <f t="shared" si="18"/>
        <v>1.670291888857704E-6</v>
      </c>
      <c r="E143" s="108">
        <f>I143*(1+'Key Inputs'!$Q$4)</f>
        <v>1.5524999999999998E-5</v>
      </c>
      <c r="F143" s="66" t="s">
        <v>203</v>
      </c>
      <c r="G143" s="85" t="s">
        <v>210</v>
      </c>
      <c r="I143" s="238">
        <v>1.3499999999999999E-5</v>
      </c>
      <c r="J143" s="41"/>
      <c r="K143" s="41"/>
    </row>
    <row r="144" spans="2:11" s="53" customFormat="1" x14ac:dyDescent="0.2">
      <c r="B144" s="236" t="s">
        <v>193</v>
      </c>
      <c r="C144" s="107">
        <f t="shared" si="16"/>
        <v>1.6187360838244921E-8</v>
      </c>
      <c r="D144" s="108">
        <f t="shared" si="18"/>
        <v>1.9053700065487883E-8</v>
      </c>
      <c r="E144" s="108">
        <f>I144*(1+'Key Inputs'!$Q$4)</f>
        <v>1.7709999999999999E-7</v>
      </c>
      <c r="F144" s="66" t="s">
        <v>203</v>
      </c>
      <c r="G144" s="85" t="s">
        <v>210</v>
      </c>
      <c r="I144" s="238">
        <v>1.54E-7</v>
      </c>
      <c r="J144" s="41"/>
      <c r="K144" s="41"/>
    </row>
    <row r="145" spans="2:11" s="53" customFormat="1" x14ac:dyDescent="0.2">
      <c r="B145" s="109"/>
      <c r="C145" s="110"/>
      <c r="D145" s="111"/>
      <c r="E145" s="112"/>
      <c r="F145" s="66"/>
      <c r="G145" s="85"/>
      <c r="I145" s="509"/>
      <c r="J145" s="41"/>
      <c r="K145" s="41"/>
    </row>
    <row r="146" spans="2:11" s="53" customFormat="1" x14ac:dyDescent="0.2">
      <c r="B146" s="82" t="s">
        <v>194</v>
      </c>
      <c r="C146" s="83"/>
      <c r="D146" s="111"/>
      <c r="E146" s="112"/>
      <c r="F146" s="66"/>
      <c r="G146" s="85"/>
      <c r="I146" s="509"/>
      <c r="J146" s="41"/>
      <c r="K146" s="41"/>
    </row>
    <row r="147" spans="2:11" s="53" customFormat="1" ht="15.75" x14ac:dyDescent="0.2">
      <c r="B147" s="113" t="s">
        <v>195</v>
      </c>
      <c r="C147" s="114">
        <f>E147*$C$15</f>
        <v>13142.981880405086</v>
      </c>
      <c r="D147" s="115">
        <f>E147*'Key Inputs'!$D$31*$C$18/2000</f>
        <v>15470.244792697902</v>
      </c>
      <c r="E147" s="116">
        <f>CONVERT(53.06,"kg","lbm")*(1+'Key Inputs'!$Q$4)</f>
        <v>134.52386776259044</v>
      </c>
      <c r="F147" s="92" t="s">
        <v>205</v>
      </c>
      <c r="G147" s="93" t="s">
        <v>211</v>
      </c>
      <c r="I147" s="41"/>
      <c r="J147" s="41"/>
      <c r="K147" s="41"/>
    </row>
    <row r="148" spans="2:11" s="53" customFormat="1" ht="15.75" x14ac:dyDescent="0.2">
      <c r="B148" s="113" t="s">
        <v>196</v>
      </c>
      <c r="C148" s="116">
        <f>E148*$C$15</f>
        <v>0.24770037467781919</v>
      </c>
      <c r="D148" s="115">
        <f>E148*'Key Inputs'!$D$31*$C$18/2000</f>
        <v>0.29156134173950055</v>
      </c>
      <c r="E148" s="127">
        <f>CONVERT(0.001,"kg","lbm")*(1+'Key Inputs'!$Q$4)</f>
        <v>2.5353160151260919E-3</v>
      </c>
      <c r="F148" s="92" t="s">
        <v>205</v>
      </c>
      <c r="G148" s="93" t="s">
        <v>212</v>
      </c>
      <c r="I148" s="41"/>
      <c r="J148" s="41"/>
      <c r="K148" s="41"/>
    </row>
    <row r="149" spans="2:11" s="53" customFormat="1" ht="15.75" x14ac:dyDescent="0.2">
      <c r="B149" s="113" t="s">
        <v>197</v>
      </c>
      <c r="C149" s="116">
        <f>E149*$C$15</f>
        <v>2.4770037467781919E-2</v>
      </c>
      <c r="D149" s="115">
        <f>E149*'Key Inputs'!$D$31*$C$18/2000</f>
        <v>2.9156134173950056E-2</v>
      </c>
      <c r="E149" s="128">
        <f>CONVERT(0.0001,"kg","lbm")*(1+'Key Inputs'!$Q$4)</f>
        <v>2.5353160151260918E-4</v>
      </c>
      <c r="F149" s="92" t="s">
        <v>205</v>
      </c>
      <c r="G149" s="93" t="s">
        <v>212</v>
      </c>
      <c r="I149" s="41"/>
      <c r="J149" s="41"/>
      <c r="K149" s="41"/>
    </row>
    <row r="150" spans="2:11" s="53" customFormat="1" ht="15.75" x14ac:dyDescent="0.2">
      <c r="B150" s="113" t="s">
        <v>198</v>
      </c>
      <c r="C150" s="114">
        <f>D150/$C$13*2000</f>
        <v>3535.647234206097</v>
      </c>
      <c r="D150" s="123">
        <f>D147*'Key Inputs'!$C$49+D148*'Key Inputs'!$C$50+D149*'Key Inputs'!$C$51</f>
        <v>15486.134885822705</v>
      </c>
      <c r="E150" s="124" t="s">
        <v>199</v>
      </c>
      <c r="F150" s="125" t="s">
        <v>199</v>
      </c>
      <c r="G150" s="85" t="s">
        <v>200</v>
      </c>
      <c r="I150" s="41"/>
      <c r="J150" s="41"/>
      <c r="K150" s="41"/>
    </row>
    <row r="151" spans="2:11" s="53" customFormat="1" ht="6" customHeight="1" thickBot="1" x14ac:dyDescent="0.25">
      <c r="B151" s="77"/>
      <c r="C151" s="129"/>
      <c r="D151" s="130"/>
      <c r="E151" s="131"/>
      <c r="F151" s="131"/>
      <c r="G151" s="81"/>
      <c r="I151" s="41"/>
      <c r="J151" s="41"/>
      <c r="K151" s="41"/>
    </row>
    <row r="152" spans="2:11" s="53" customFormat="1" ht="6" customHeight="1" x14ac:dyDescent="0.2">
      <c r="D152" s="52"/>
      <c r="E152" s="66"/>
      <c r="F152" s="66"/>
      <c r="G152" s="54"/>
      <c r="I152" s="41"/>
      <c r="J152" s="41"/>
      <c r="K152" s="41"/>
    </row>
    <row r="153" spans="2:11" s="48" customFormat="1" x14ac:dyDescent="0.2">
      <c r="B153" s="63" t="s">
        <v>213</v>
      </c>
      <c r="C153" s="63"/>
      <c r="D153" s="63"/>
      <c r="E153" s="63"/>
      <c r="F153" s="63"/>
      <c r="G153" s="65"/>
      <c r="I153" s="50"/>
      <c r="J153" s="50"/>
      <c r="K153" s="50"/>
    </row>
    <row r="154" spans="2:11" s="53" customFormat="1" ht="6" customHeight="1" thickBot="1" x14ac:dyDescent="0.25">
      <c r="D154" s="52"/>
      <c r="E154" s="66"/>
      <c r="F154" s="66"/>
      <c r="G154" s="54"/>
      <c r="I154" s="41"/>
      <c r="J154" s="41"/>
      <c r="K154" s="41"/>
    </row>
    <row r="155" spans="2:11" s="53" customFormat="1" ht="6" customHeight="1" x14ac:dyDescent="0.2">
      <c r="B155" s="67"/>
      <c r="C155" s="68"/>
      <c r="D155" s="69"/>
      <c r="E155" s="70"/>
      <c r="F155" s="70"/>
      <c r="G155" s="71"/>
      <c r="I155" s="41"/>
      <c r="J155" s="41"/>
      <c r="K155" s="41"/>
    </row>
    <row r="156" spans="2:11" s="75" customFormat="1" ht="38.25" x14ac:dyDescent="0.2">
      <c r="B156" s="72" t="s">
        <v>136</v>
      </c>
      <c r="C156" s="73" t="s">
        <v>137</v>
      </c>
      <c r="D156" s="73" t="s">
        <v>138</v>
      </c>
      <c r="E156" s="73" t="s">
        <v>139</v>
      </c>
      <c r="F156" s="73" t="s">
        <v>140</v>
      </c>
      <c r="G156" s="74" t="s">
        <v>141</v>
      </c>
      <c r="I156" s="76"/>
      <c r="J156" s="76"/>
      <c r="K156" s="76"/>
    </row>
    <row r="157" spans="2:11" s="53" customFormat="1" ht="6" customHeight="1" thickBot="1" x14ac:dyDescent="0.25">
      <c r="B157" s="77"/>
      <c r="C157" s="78"/>
      <c r="D157" s="79"/>
      <c r="E157" s="80"/>
      <c r="F157" s="80"/>
      <c r="G157" s="81"/>
      <c r="I157" s="41"/>
      <c r="J157" s="41"/>
      <c r="K157" s="41"/>
    </row>
    <row r="158" spans="2:11" s="53" customFormat="1" ht="6" customHeight="1" x14ac:dyDescent="0.2">
      <c r="B158" s="67"/>
      <c r="C158" s="68"/>
      <c r="D158" s="69"/>
      <c r="E158" s="70"/>
      <c r="F158" s="70"/>
      <c r="G158" s="71"/>
      <c r="I158" s="41"/>
      <c r="J158" s="41"/>
      <c r="K158" s="41"/>
    </row>
    <row r="159" spans="2:11" s="53" customFormat="1" x14ac:dyDescent="0.2">
      <c r="B159" s="82" t="s">
        <v>142</v>
      </c>
      <c r="C159" s="83"/>
      <c r="D159" s="84"/>
      <c r="E159" s="66"/>
      <c r="F159" s="66"/>
      <c r="G159" s="85"/>
      <c r="H159" s="41"/>
      <c r="I159" s="41"/>
      <c r="J159" s="41"/>
      <c r="K159" s="41"/>
    </row>
    <row r="160" spans="2:11" s="94" customFormat="1" ht="15" customHeight="1" x14ac:dyDescent="0.2">
      <c r="B160" s="87" t="s">
        <v>148</v>
      </c>
      <c r="C160" s="88">
        <f>E160*$C$17</f>
        <v>0.713609048270471</v>
      </c>
      <c r="D160" s="89">
        <f>E160*$C$19/2000</f>
        <v>2.2825263826460813</v>
      </c>
      <c r="E160" s="104">
        <f>3.25*(1+'Key Inputs'!$Q$4)</f>
        <v>3.7374999999999998</v>
      </c>
      <c r="F160" s="92" t="s">
        <v>203</v>
      </c>
      <c r="G160" s="93" t="s">
        <v>214</v>
      </c>
      <c r="H160" s="91"/>
      <c r="I160" s="91"/>
      <c r="J160" s="91"/>
      <c r="K160" s="91"/>
    </row>
    <row r="161" spans="2:14" s="94" customFormat="1" ht="15" customHeight="1" x14ac:dyDescent="0.2">
      <c r="B161" s="237" t="s">
        <v>143</v>
      </c>
      <c r="C161" s="88">
        <f>E161*$C$17</f>
        <v>1.3613464920852061</v>
      </c>
      <c r="D161" s="89">
        <f t="shared" ref="D161:D166" si="19">E161*$C$19/2000</f>
        <v>4.3543580222786789</v>
      </c>
      <c r="E161" s="104">
        <f>6.2*(1+'Key Inputs'!$Q$4)</f>
        <v>7.13</v>
      </c>
      <c r="F161" s="92" t="s">
        <v>203</v>
      </c>
      <c r="G161" s="85" t="s">
        <v>215</v>
      </c>
      <c r="H161" s="91"/>
      <c r="I161" s="91"/>
      <c r="J161" s="91"/>
      <c r="K161" s="91"/>
    </row>
    <row r="162" spans="2:14" s="94" customFormat="1" ht="15" customHeight="1" x14ac:dyDescent="0.2">
      <c r="B162" s="237" t="s">
        <v>146</v>
      </c>
      <c r="C162" s="88">
        <f t="shared" ref="C162:C163" si="20">E162*$C$17</f>
        <v>0.95513826460816875</v>
      </c>
      <c r="D162" s="89">
        <f t="shared" si="19"/>
        <v>3.0550737736955242</v>
      </c>
      <c r="E162" s="104">
        <f>4.35*(1+'Key Inputs'!$Q$4)</f>
        <v>5.0024999999999995</v>
      </c>
      <c r="F162" s="92" t="s">
        <v>203</v>
      </c>
      <c r="G162" s="85" t="s">
        <v>215</v>
      </c>
      <c r="H162" s="91"/>
      <c r="I162" s="91"/>
      <c r="J162" s="91"/>
      <c r="K162" s="91"/>
    </row>
    <row r="163" spans="2:14" s="94" customFormat="1" ht="15" customHeight="1" x14ac:dyDescent="0.2">
      <c r="B163" s="237" t="s">
        <v>147</v>
      </c>
      <c r="C163" s="88">
        <f t="shared" si="20"/>
        <v>0.70702188782489739</v>
      </c>
      <c r="D163" s="89">
        <f t="shared" si="19"/>
        <v>2.2614569083447331</v>
      </c>
      <c r="E163" s="104">
        <f>3.22*(1+'Key Inputs'!$Q$4)</f>
        <v>3.7029999999999998</v>
      </c>
      <c r="F163" s="92" t="s">
        <v>203</v>
      </c>
      <c r="G163" s="85" t="s">
        <v>215</v>
      </c>
      <c r="H163" s="91"/>
      <c r="I163" s="91"/>
      <c r="J163" s="91"/>
      <c r="K163" s="91"/>
    </row>
    <row r="164" spans="2:14" s="94" customFormat="1" ht="15" customHeight="1" x14ac:dyDescent="0.2">
      <c r="B164" s="237" t="s">
        <v>149</v>
      </c>
      <c r="C164" s="116">
        <f>E164*$C$15</f>
        <v>3.5171999999999999</v>
      </c>
      <c r="D164" s="89">
        <f>E164*'Key Inputs'!$D$32*$C$19/2000</f>
        <v>11.249999999999998</v>
      </c>
      <c r="E164" s="519">
        <f>'Key Inputs'!$D$41</f>
        <v>3.5999999999999997E-2</v>
      </c>
      <c r="F164" s="92" t="s">
        <v>205</v>
      </c>
      <c r="G164" s="93" t="s">
        <v>206</v>
      </c>
      <c r="H164" s="91"/>
      <c r="I164" s="91"/>
      <c r="J164" s="91"/>
      <c r="K164" s="91"/>
    </row>
    <row r="165" spans="2:14" s="94" customFormat="1" ht="15" customHeight="1" x14ac:dyDescent="0.2">
      <c r="B165" s="237" t="s">
        <v>150</v>
      </c>
      <c r="C165" s="88">
        <f t="shared" ref="C165:C166" si="21">D165/$C$13*2000</f>
        <v>0.19241529042327346</v>
      </c>
      <c r="D165" s="89">
        <f t="shared" si="19"/>
        <v>0.84277897205393781</v>
      </c>
      <c r="E165" s="104">
        <f>1.2*(1+'Key Inputs'!$Q$4)</f>
        <v>1.38</v>
      </c>
      <c r="F165" s="92" t="s">
        <v>203</v>
      </c>
      <c r="G165" s="85" t="s">
        <v>215</v>
      </c>
      <c r="H165" s="91"/>
      <c r="I165" s="338">
        <f>E165/'Key Inputs'!D32</f>
        <v>2.696892710572601E-3</v>
      </c>
      <c r="J165" s="544" t="s">
        <v>207</v>
      </c>
      <c r="K165" s="91"/>
      <c r="M165" s="196" t="s">
        <v>216</v>
      </c>
      <c r="N165" s="196"/>
    </row>
    <row r="166" spans="2:14" s="94" customFormat="1" ht="15" customHeight="1" x14ac:dyDescent="0.2">
      <c r="B166" s="237" t="s">
        <v>151</v>
      </c>
      <c r="C166" s="88">
        <f t="shared" si="21"/>
        <v>11.939333241249518</v>
      </c>
      <c r="D166" s="89">
        <f t="shared" si="19"/>
        <v>52.294279596672894</v>
      </c>
      <c r="E166" s="104">
        <f>'Key Inputs'!C57</f>
        <v>85.628745182776072</v>
      </c>
      <c r="F166" s="92" t="s">
        <v>203</v>
      </c>
      <c r="G166" s="93" t="s">
        <v>217</v>
      </c>
      <c r="H166" s="91"/>
      <c r="I166" s="338">
        <f>E166/'Key Inputs'!D32</f>
        <v>0.16734169470935328</v>
      </c>
      <c r="J166" s="196" t="s">
        <v>218</v>
      </c>
      <c r="K166" s="91"/>
      <c r="M166" s="338">
        <f>1.7*C15^-0.14</f>
        <v>0.89508377010496043</v>
      </c>
      <c r="N166" s="196" t="s">
        <v>205</v>
      </c>
    </row>
    <row r="167" spans="2:14" s="94" customFormat="1" ht="15" customHeight="1" x14ac:dyDescent="0.2">
      <c r="B167" s="237" t="s">
        <v>152</v>
      </c>
      <c r="C167" s="116">
        <f>E167*$C$15</f>
        <v>3.5410474194823309</v>
      </c>
      <c r="D167" s="89">
        <f>E167*'Key Inputs'!$D$32*$C$19/2000</f>
        <v>11.326277569992103</v>
      </c>
      <c r="E167" s="519">
        <f>'Key Inputs'!$D$42</f>
        <v>3.6244088223974728E-2</v>
      </c>
      <c r="F167" s="92" t="s">
        <v>205</v>
      </c>
      <c r="G167" s="93" t="s">
        <v>206</v>
      </c>
      <c r="H167" s="91"/>
      <c r="I167" s="91"/>
      <c r="J167" s="91"/>
      <c r="K167" s="91"/>
    </row>
    <row r="168" spans="2:14" s="94" customFormat="1" ht="15" customHeight="1" x14ac:dyDescent="0.2">
      <c r="B168" s="87"/>
      <c r="C168" s="88"/>
      <c r="D168" s="89"/>
      <c r="E168" s="104"/>
      <c r="F168" s="92"/>
      <c r="G168" s="93"/>
      <c r="H168" s="91"/>
      <c r="I168" s="91"/>
      <c r="J168" s="91"/>
      <c r="K168" s="91"/>
    </row>
    <row r="169" spans="2:14" s="53" customFormat="1" x14ac:dyDescent="0.2">
      <c r="B169" s="82" t="s">
        <v>154</v>
      </c>
      <c r="C169" s="339"/>
      <c r="D169" s="97"/>
      <c r="E169" s="98"/>
      <c r="F169" s="99"/>
      <c r="G169" s="85"/>
      <c r="I169" s="41"/>
      <c r="J169" s="41"/>
      <c r="K169" s="41"/>
    </row>
    <row r="170" spans="2:14" s="53" customFormat="1" x14ac:dyDescent="0.2">
      <c r="B170" s="100" t="s">
        <v>155</v>
      </c>
      <c r="C170" s="101"/>
      <c r="D170" s="97"/>
      <c r="E170" s="89"/>
      <c r="F170" s="102"/>
      <c r="G170" s="85"/>
      <c r="I170" s="41"/>
      <c r="J170" s="41"/>
      <c r="K170" s="41"/>
    </row>
    <row r="171" spans="2:14" s="53" customFormat="1" x14ac:dyDescent="0.2">
      <c r="B171" s="103" t="s">
        <v>163</v>
      </c>
      <c r="C171" s="107">
        <f>E171*$C$17</f>
        <v>4.3914402970490519E-3</v>
      </c>
      <c r="D171" s="108">
        <f>E171*$C$19/2000</f>
        <v>1.4046316200898964E-2</v>
      </c>
      <c r="E171" s="108">
        <f>0.02*(1+'Key Inputs'!$Q$4)</f>
        <v>2.3E-2</v>
      </c>
      <c r="F171" s="66" t="s">
        <v>203</v>
      </c>
      <c r="G171" s="85" t="s">
        <v>219</v>
      </c>
      <c r="I171" s="132"/>
      <c r="J171" s="132"/>
      <c r="K171" s="41"/>
    </row>
    <row r="172" spans="2:14" s="53" customFormat="1" x14ac:dyDescent="0.2">
      <c r="B172" s="103"/>
      <c r="C172" s="107"/>
      <c r="D172" s="108"/>
      <c r="E172" s="108"/>
      <c r="F172" s="66"/>
      <c r="G172" s="85"/>
      <c r="I172" s="41"/>
      <c r="J172" s="41"/>
      <c r="K172" s="41"/>
    </row>
    <row r="173" spans="2:14" s="53" customFormat="1" x14ac:dyDescent="0.2">
      <c r="B173" s="100" t="s">
        <v>180</v>
      </c>
      <c r="C173" s="107"/>
      <c r="D173" s="108"/>
      <c r="E173" s="108"/>
      <c r="F173" s="66"/>
      <c r="G173" s="85"/>
      <c r="I173" s="41"/>
      <c r="J173" s="41"/>
      <c r="K173" s="41"/>
    </row>
    <row r="174" spans="2:14" s="53" customFormat="1" x14ac:dyDescent="0.2">
      <c r="B174" s="103" t="s">
        <v>153</v>
      </c>
      <c r="C174" s="107">
        <f>E174*$C$17</f>
        <v>0.87065077193668161</v>
      </c>
      <c r="D174" s="126">
        <f>E174*$C$19/2000</f>
        <v>2.784834864178229</v>
      </c>
      <c r="E174" s="126">
        <v>4.5599999999999996</v>
      </c>
      <c r="F174" s="66" t="s">
        <v>203</v>
      </c>
      <c r="G174" s="85" t="s">
        <v>220</v>
      </c>
      <c r="I174" s="41"/>
      <c r="J174" s="41"/>
      <c r="K174" s="41"/>
    </row>
    <row r="175" spans="2:14" s="53" customFormat="1" ht="15.75" x14ac:dyDescent="0.3">
      <c r="B175" s="103" t="s">
        <v>181</v>
      </c>
      <c r="C175" s="107">
        <f t="shared" ref="C175:C177" si="22">E175*$C$17</f>
        <v>6.3007621653312492E-3</v>
      </c>
      <c r="D175" s="108">
        <f>E175*$C$19/2000</f>
        <v>2.0153410201289818E-2</v>
      </c>
      <c r="E175" s="108">
        <v>3.3000000000000002E-2</v>
      </c>
      <c r="F175" s="66" t="s">
        <v>203</v>
      </c>
      <c r="G175" s="85" t="s">
        <v>220</v>
      </c>
      <c r="I175" s="41"/>
      <c r="J175" s="41"/>
      <c r="K175" s="41"/>
    </row>
    <row r="176" spans="2:14" s="53" customFormat="1" x14ac:dyDescent="0.2">
      <c r="B176" s="103" t="s">
        <v>182</v>
      </c>
      <c r="C176" s="107">
        <f t="shared" si="22"/>
        <v>1.2410592143834279E-2</v>
      </c>
      <c r="D176" s="108">
        <f t="shared" ref="D176:D177" si="23">E176*$C$19/2000</f>
        <v>3.9696111002540557E-2</v>
      </c>
      <c r="E176" s="108">
        <v>6.5000000000000002E-2</v>
      </c>
      <c r="F176" s="66" t="s">
        <v>203</v>
      </c>
      <c r="G176" s="85" t="s">
        <v>220</v>
      </c>
      <c r="I176" s="41"/>
      <c r="J176" s="41"/>
      <c r="K176" s="41"/>
    </row>
    <row r="177" spans="2:11" s="53" customFormat="1" ht="15.75" x14ac:dyDescent="0.3">
      <c r="B177" s="103" t="s">
        <v>221</v>
      </c>
      <c r="C177" s="107">
        <f t="shared" si="22"/>
        <v>2.9594488958374049E-2</v>
      </c>
      <c r="D177" s="108">
        <f t="shared" si="23"/>
        <v>9.465995700605824E-2</v>
      </c>
      <c r="E177" s="108">
        <v>0.155</v>
      </c>
      <c r="F177" s="66" t="s">
        <v>203</v>
      </c>
      <c r="G177" s="85" t="s">
        <v>220</v>
      </c>
      <c r="I177" s="41"/>
      <c r="J177" s="41"/>
      <c r="K177" s="41"/>
    </row>
    <row r="178" spans="2:11" s="53" customFormat="1" x14ac:dyDescent="0.2">
      <c r="B178" s="100"/>
      <c r="C178" s="105"/>
      <c r="D178" s="106"/>
      <c r="E178" s="89"/>
      <c r="F178" s="102"/>
      <c r="G178" s="85"/>
      <c r="I178" s="41"/>
      <c r="J178" s="41"/>
      <c r="K178" s="41"/>
    </row>
    <row r="179" spans="2:11" s="53" customFormat="1" x14ac:dyDescent="0.2">
      <c r="B179" s="82" t="s">
        <v>194</v>
      </c>
      <c r="C179" s="339"/>
      <c r="D179" s="111"/>
      <c r="E179" s="112"/>
      <c r="F179" s="66"/>
      <c r="G179" s="85"/>
      <c r="I179" s="41"/>
      <c r="J179" s="41"/>
      <c r="K179" s="41"/>
    </row>
    <row r="180" spans="2:11" s="53" customFormat="1" ht="15.75" x14ac:dyDescent="0.2">
      <c r="B180" s="113" t="s">
        <v>195</v>
      </c>
      <c r="C180" s="116">
        <f t="shared" ref="C180:C182" si="24">E180*$C$15</f>
        <v>11604.76255365583</v>
      </c>
      <c r="D180" s="115">
        <f>E180*'Key Inputs'!$D$32*$C$19/2000</f>
        <v>37118.611033955429</v>
      </c>
      <c r="E180" s="116">
        <f>CONVERT(46.85,"kg","lbm")*(1+'Key Inputs'!$Q$4)</f>
        <v>118.77955530865741</v>
      </c>
      <c r="F180" s="92" t="s">
        <v>205</v>
      </c>
      <c r="G180" s="93" t="s">
        <v>222</v>
      </c>
      <c r="I180" s="41"/>
      <c r="J180" s="41"/>
      <c r="K180" s="41"/>
    </row>
    <row r="181" spans="2:11" s="53" customFormat="1" ht="15.75" x14ac:dyDescent="0.2">
      <c r="B181" s="113" t="s">
        <v>196</v>
      </c>
      <c r="C181" s="116">
        <f t="shared" si="24"/>
        <v>0.11889617984535321</v>
      </c>
      <c r="D181" s="521">
        <f>E181*'Key Inputs'!$D$32*$C$19/2000</f>
        <v>0.38029740226891373</v>
      </c>
      <c r="E181" s="127">
        <f>CONVERT(0.00048,"kg","lbm")*(1+'Key Inputs'!$Q$4)</f>
        <v>1.2169516872605241E-3</v>
      </c>
      <c r="F181" s="92" t="s">
        <v>205</v>
      </c>
      <c r="G181" s="93" t="s">
        <v>223</v>
      </c>
      <c r="I181" s="132"/>
      <c r="J181" s="41"/>
      <c r="K181" s="41"/>
    </row>
    <row r="182" spans="2:11" s="53" customFormat="1" ht="15.75" x14ac:dyDescent="0.2">
      <c r="B182" s="113" t="s">
        <v>197</v>
      </c>
      <c r="C182" s="116">
        <f t="shared" si="24"/>
        <v>2.4770037467781919E-2</v>
      </c>
      <c r="D182" s="521">
        <f>E182*'Key Inputs'!$D$32*$C$19/2000</f>
        <v>7.922862547269037E-2</v>
      </c>
      <c r="E182" s="128">
        <f>CONVERT(0.0001,"kg","lbm")*(1+'Key Inputs'!$Q$4)</f>
        <v>2.5353160151260918E-4</v>
      </c>
      <c r="F182" s="92" t="s">
        <v>205</v>
      </c>
      <c r="G182" s="93" t="s">
        <v>223</v>
      </c>
      <c r="I182" s="41"/>
      <c r="J182" s="41"/>
      <c r="K182" s="41"/>
    </row>
    <row r="183" spans="2:11" s="53" customFormat="1" ht="15.75" x14ac:dyDescent="0.2">
      <c r="B183" s="113" t="s">
        <v>198</v>
      </c>
      <c r="C183" s="114">
        <f>D183/$C$13*2000</f>
        <v>8481.7933668879505</v>
      </c>
      <c r="D183" s="123">
        <f>D180*'Key Inputs'!$C$49+D181*'Key Inputs'!$C$50+D182*'Key Inputs'!$C$51</f>
        <v>37150.254946969224</v>
      </c>
      <c r="E183" s="124" t="s">
        <v>199</v>
      </c>
      <c r="F183" s="125" t="s">
        <v>199</v>
      </c>
      <c r="G183" s="85" t="s">
        <v>200</v>
      </c>
      <c r="I183" s="41"/>
      <c r="J183" s="41"/>
      <c r="K183" s="41"/>
    </row>
    <row r="184" spans="2:11" s="53" customFormat="1" ht="6" customHeight="1" thickBot="1" x14ac:dyDescent="0.25">
      <c r="B184" s="77"/>
      <c r="C184" s="129"/>
      <c r="D184" s="130"/>
      <c r="E184" s="131"/>
      <c r="F184" s="131"/>
      <c r="G184" s="81"/>
      <c r="I184" s="41"/>
      <c r="J184" s="41"/>
      <c r="K184" s="41"/>
    </row>
    <row r="185" spans="2:11" ht="6" customHeight="1" x14ac:dyDescent="0.2">
      <c r="H185" s="39"/>
    </row>
  </sheetData>
  <mergeCells count="2">
    <mergeCell ref="I24:K24"/>
    <mergeCell ref="I91:K91"/>
  </mergeCells>
  <phoneticPr fontId="57" type="noConversion"/>
  <pageMargins left="0.7" right="0.7" top="0.75" bottom="0.75" header="0.3" footer="0.3"/>
  <pageSetup scale="50" fitToHeight="3" orientation="portrait" r:id="rId1"/>
  <rowBreaks count="2" manualBreakCount="2">
    <brk id="87" min="1" max="6" man="1"/>
    <brk id="152" min="1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CEDFD-05A9-4B06-9159-EE6839347CFE}">
  <sheetPr>
    <tabColor rgb="FFFFFF99"/>
  </sheetPr>
  <dimension ref="A1"/>
  <sheetViews>
    <sheetView workbookViewId="0"/>
  </sheetViews>
  <sheetFormatPr defaultRowHeight="12.75" x14ac:dyDescent="0.2"/>
  <cols>
    <col min="2" max="2" width="31.140625" customWidth="1"/>
  </cols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071BB-DDB9-4F57-936F-2906C98FB424}">
  <sheetPr>
    <tabColor rgb="FFFFFF99"/>
  </sheetPr>
  <dimension ref="A1:M222"/>
  <sheetViews>
    <sheetView view="pageBreakPreview" topLeftCell="A22" zoomScale="73" zoomScaleNormal="100" zoomScaleSheetLayoutView="73" workbookViewId="0">
      <selection activeCell="J40" sqref="J40:J41"/>
    </sheetView>
  </sheetViews>
  <sheetFormatPr defaultRowHeight="12.75" x14ac:dyDescent="0.2"/>
  <cols>
    <col min="1" max="1" width="2.5703125" style="18" customWidth="1"/>
    <col min="2" max="2" width="31.140625" style="18" customWidth="1"/>
    <col min="3" max="7" width="17.85546875" style="18" customWidth="1"/>
    <col min="8" max="8" width="14.42578125" style="18" customWidth="1"/>
    <col min="9" max="9" width="29" style="18" bestFit="1" customWidth="1"/>
    <col min="10" max="10" width="13.140625" style="18" bestFit="1" customWidth="1"/>
    <col min="11" max="12" width="9.140625" style="18"/>
    <col min="13" max="13" width="29.42578125" style="18" customWidth="1"/>
    <col min="14" max="230" width="9.140625" style="18"/>
    <col min="231" max="231" width="1.85546875" style="18" customWidth="1"/>
    <col min="232" max="232" width="18.28515625" style="18" customWidth="1"/>
    <col min="233" max="233" width="16.140625" style="18" customWidth="1"/>
    <col min="234" max="234" width="13.42578125" style="18" customWidth="1"/>
    <col min="235" max="235" width="12.28515625" style="18" customWidth="1"/>
    <col min="236" max="236" width="12.85546875" style="18" customWidth="1"/>
    <col min="237" max="237" width="14.28515625" style="18" customWidth="1"/>
    <col min="238" max="239" width="12.85546875" style="18" customWidth="1"/>
    <col min="240" max="240" width="15.140625" style="18" customWidth="1"/>
    <col min="241" max="242" width="16.140625" style="18" customWidth="1"/>
    <col min="243" max="243" width="17.140625" style="18" customWidth="1"/>
    <col min="244" max="244" width="13.5703125" style="18" customWidth="1"/>
    <col min="245" max="486" width="9.140625" style="18"/>
    <col min="487" max="487" width="1.85546875" style="18" customWidth="1"/>
    <col min="488" max="488" width="18.28515625" style="18" customWidth="1"/>
    <col min="489" max="489" width="16.140625" style="18" customWidth="1"/>
    <col min="490" max="490" width="13.42578125" style="18" customWidth="1"/>
    <col min="491" max="491" width="12.28515625" style="18" customWidth="1"/>
    <col min="492" max="492" width="12.85546875" style="18" customWidth="1"/>
    <col min="493" max="493" width="14.28515625" style="18" customWidth="1"/>
    <col min="494" max="495" width="12.85546875" style="18" customWidth="1"/>
    <col min="496" max="496" width="15.140625" style="18" customWidth="1"/>
    <col min="497" max="498" width="16.140625" style="18" customWidth="1"/>
    <col min="499" max="499" width="17.140625" style="18" customWidth="1"/>
    <col min="500" max="500" width="13.5703125" style="18" customWidth="1"/>
    <col min="501" max="742" width="9.140625" style="18"/>
    <col min="743" max="743" width="1.85546875" style="18" customWidth="1"/>
    <col min="744" max="744" width="18.28515625" style="18" customWidth="1"/>
    <col min="745" max="745" width="16.140625" style="18" customWidth="1"/>
    <col min="746" max="746" width="13.42578125" style="18" customWidth="1"/>
    <col min="747" max="747" width="12.28515625" style="18" customWidth="1"/>
    <col min="748" max="748" width="12.85546875" style="18" customWidth="1"/>
    <col min="749" max="749" width="14.28515625" style="18" customWidth="1"/>
    <col min="750" max="751" width="12.85546875" style="18" customWidth="1"/>
    <col min="752" max="752" width="15.140625" style="18" customWidth="1"/>
    <col min="753" max="754" width="16.140625" style="18" customWidth="1"/>
    <col min="755" max="755" width="17.140625" style="18" customWidth="1"/>
    <col min="756" max="756" width="13.5703125" style="18" customWidth="1"/>
    <col min="757" max="998" width="9.140625" style="18"/>
    <col min="999" max="999" width="1.85546875" style="18" customWidth="1"/>
    <col min="1000" max="1000" width="18.28515625" style="18" customWidth="1"/>
    <col min="1001" max="1001" width="16.140625" style="18" customWidth="1"/>
    <col min="1002" max="1002" width="13.42578125" style="18" customWidth="1"/>
    <col min="1003" max="1003" width="12.28515625" style="18" customWidth="1"/>
    <col min="1004" max="1004" width="12.85546875" style="18" customWidth="1"/>
    <col min="1005" max="1005" width="14.28515625" style="18" customWidth="1"/>
    <col min="1006" max="1007" width="12.85546875" style="18" customWidth="1"/>
    <col min="1008" max="1008" width="15.140625" style="18" customWidth="1"/>
    <col min="1009" max="1010" width="16.140625" style="18" customWidth="1"/>
    <col min="1011" max="1011" width="17.140625" style="18" customWidth="1"/>
    <col min="1012" max="1012" width="13.5703125" style="18" customWidth="1"/>
    <col min="1013" max="1254" width="9.140625" style="18"/>
    <col min="1255" max="1255" width="1.85546875" style="18" customWidth="1"/>
    <col min="1256" max="1256" width="18.28515625" style="18" customWidth="1"/>
    <col min="1257" max="1257" width="16.140625" style="18" customWidth="1"/>
    <col min="1258" max="1258" width="13.42578125" style="18" customWidth="1"/>
    <col min="1259" max="1259" width="12.28515625" style="18" customWidth="1"/>
    <col min="1260" max="1260" width="12.85546875" style="18" customWidth="1"/>
    <col min="1261" max="1261" width="14.28515625" style="18" customWidth="1"/>
    <col min="1262" max="1263" width="12.85546875" style="18" customWidth="1"/>
    <col min="1264" max="1264" width="15.140625" style="18" customWidth="1"/>
    <col min="1265" max="1266" width="16.140625" style="18" customWidth="1"/>
    <col min="1267" max="1267" width="17.140625" style="18" customWidth="1"/>
    <col min="1268" max="1268" width="13.5703125" style="18" customWidth="1"/>
    <col min="1269" max="1510" width="9.140625" style="18"/>
    <col min="1511" max="1511" width="1.85546875" style="18" customWidth="1"/>
    <col min="1512" max="1512" width="18.28515625" style="18" customWidth="1"/>
    <col min="1513" max="1513" width="16.140625" style="18" customWidth="1"/>
    <col min="1514" max="1514" width="13.42578125" style="18" customWidth="1"/>
    <col min="1515" max="1515" width="12.28515625" style="18" customWidth="1"/>
    <col min="1516" max="1516" width="12.85546875" style="18" customWidth="1"/>
    <col min="1517" max="1517" width="14.28515625" style="18" customWidth="1"/>
    <col min="1518" max="1519" width="12.85546875" style="18" customWidth="1"/>
    <col min="1520" max="1520" width="15.140625" style="18" customWidth="1"/>
    <col min="1521" max="1522" width="16.140625" style="18" customWidth="1"/>
    <col min="1523" max="1523" width="17.140625" style="18" customWidth="1"/>
    <col min="1524" max="1524" width="13.5703125" style="18" customWidth="1"/>
    <col min="1525" max="1766" width="9.140625" style="18"/>
    <col min="1767" max="1767" width="1.85546875" style="18" customWidth="1"/>
    <col min="1768" max="1768" width="18.28515625" style="18" customWidth="1"/>
    <col min="1769" max="1769" width="16.140625" style="18" customWidth="1"/>
    <col min="1770" max="1770" width="13.42578125" style="18" customWidth="1"/>
    <col min="1771" max="1771" width="12.28515625" style="18" customWidth="1"/>
    <col min="1772" max="1772" width="12.85546875" style="18" customWidth="1"/>
    <col min="1773" max="1773" width="14.28515625" style="18" customWidth="1"/>
    <col min="1774" max="1775" width="12.85546875" style="18" customWidth="1"/>
    <col min="1776" max="1776" width="15.140625" style="18" customWidth="1"/>
    <col min="1777" max="1778" width="16.140625" style="18" customWidth="1"/>
    <col min="1779" max="1779" width="17.140625" style="18" customWidth="1"/>
    <col min="1780" max="1780" width="13.5703125" style="18" customWidth="1"/>
    <col min="1781" max="2022" width="9.140625" style="18"/>
    <col min="2023" max="2023" width="1.85546875" style="18" customWidth="1"/>
    <col min="2024" max="2024" width="18.28515625" style="18" customWidth="1"/>
    <col min="2025" max="2025" width="16.140625" style="18" customWidth="1"/>
    <col min="2026" max="2026" width="13.42578125" style="18" customWidth="1"/>
    <col min="2027" max="2027" width="12.28515625" style="18" customWidth="1"/>
    <col min="2028" max="2028" width="12.85546875" style="18" customWidth="1"/>
    <col min="2029" max="2029" width="14.28515625" style="18" customWidth="1"/>
    <col min="2030" max="2031" width="12.85546875" style="18" customWidth="1"/>
    <col min="2032" max="2032" width="15.140625" style="18" customWidth="1"/>
    <col min="2033" max="2034" width="16.140625" style="18" customWidth="1"/>
    <col min="2035" max="2035" width="17.140625" style="18" customWidth="1"/>
    <col min="2036" max="2036" width="13.5703125" style="18" customWidth="1"/>
    <col min="2037" max="2278" width="9.140625" style="18"/>
    <col min="2279" max="2279" width="1.85546875" style="18" customWidth="1"/>
    <col min="2280" max="2280" width="18.28515625" style="18" customWidth="1"/>
    <col min="2281" max="2281" width="16.140625" style="18" customWidth="1"/>
    <col min="2282" max="2282" width="13.42578125" style="18" customWidth="1"/>
    <col min="2283" max="2283" width="12.28515625" style="18" customWidth="1"/>
    <col min="2284" max="2284" width="12.85546875" style="18" customWidth="1"/>
    <col min="2285" max="2285" width="14.28515625" style="18" customWidth="1"/>
    <col min="2286" max="2287" width="12.85546875" style="18" customWidth="1"/>
    <col min="2288" max="2288" width="15.140625" style="18" customWidth="1"/>
    <col min="2289" max="2290" width="16.140625" style="18" customWidth="1"/>
    <col min="2291" max="2291" width="17.140625" style="18" customWidth="1"/>
    <col min="2292" max="2292" width="13.5703125" style="18" customWidth="1"/>
    <col min="2293" max="2534" width="9.140625" style="18"/>
    <col min="2535" max="2535" width="1.85546875" style="18" customWidth="1"/>
    <col min="2536" max="2536" width="18.28515625" style="18" customWidth="1"/>
    <col min="2537" max="2537" width="16.140625" style="18" customWidth="1"/>
    <col min="2538" max="2538" width="13.42578125" style="18" customWidth="1"/>
    <col min="2539" max="2539" width="12.28515625" style="18" customWidth="1"/>
    <col min="2540" max="2540" width="12.85546875" style="18" customWidth="1"/>
    <col min="2541" max="2541" width="14.28515625" style="18" customWidth="1"/>
    <col min="2542" max="2543" width="12.85546875" style="18" customWidth="1"/>
    <col min="2544" max="2544" width="15.140625" style="18" customWidth="1"/>
    <col min="2545" max="2546" width="16.140625" style="18" customWidth="1"/>
    <col min="2547" max="2547" width="17.140625" style="18" customWidth="1"/>
    <col min="2548" max="2548" width="13.5703125" style="18" customWidth="1"/>
    <col min="2549" max="2790" width="9.140625" style="18"/>
    <col min="2791" max="2791" width="1.85546875" style="18" customWidth="1"/>
    <col min="2792" max="2792" width="18.28515625" style="18" customWidth="1"/>
    <col min="2793" max="2793" width="16.140625" style="18" customWidth="1"/>
    <col min="2794" max="2794" width="13.42578125" style="18" customWidth="1"/>
    <col min="2795" max="2795" width="12.28515625" style="18" customWidth="1"/>
    <col min="2796" max="2796" width="12.85546875" style="18" customWidth="1"/>
    <col min="2797" max="2797" width="14.28515625" style="18" customWidth="1"/>
    <col min="2798" max="2799" width="12.85546875" style="18" customWidth="1"/>
    <col min="2800" max="2800" width="15.140625" style="18" customWidth="1"/>
    <col min="2801" max="2802" width="16.140625" style="18" customWidth="1"/>
    <col min="2803" max="2803" width="17.140625" style="18" customWidth="1"/>
    <col min="2804" max="2804" width="13.5703125" style="18" customWidth="1"/>
    <col min="2805" max="3046" width="9.140625" style="18"/>
    <col min="3047" max="3047" width="1.85546875" style="18" customWidth="1"/>
    <col min="3048" max="3048" width="18.28515625" style="18" customWidth="1"/>
    <col min="3049" max="3049" width="16.140625" style="18" customWidth="1"/>
    <col min="3050" max="3050" width="13.42578125" style="18" customWidth="1"/>
    <col min="3051" max="3051" width="12.28515625" style="18" customWidth="1"/>
    <col min="3052" max="3052" width="12.85546875" style="18" customWidth="1"/>
    <col min="3053" max="3053" width="14.28515625" style="18" customWidth="1"/>
    <col min="3054" max="3055" width="12.85546875" style="18" customWidth="1"/>
    <col min="3056" max="3056" width="15.140625" style="18" customWidth="1"/>
    <col min="3057" max="3058" width="16.140625" style="18" customWidth="1"/>
    <col min="3059" max="3059" width="17.140625" style="18" customWidth="1"/>
    <col min="3060" max="3060" width="13.5703125" style="18" customWidth="1"/>
    <col min="3061" max="3302" width="9.140625" style="18"/>
    <col min="3303" max="3303" width="1.85546875" style="18" customWidth="1"/>
    <col min="3304" max="3304" width="18.28515625" style="18" customWidth="1"/>
    <col min="3305" max="3305" width="16.140625" style="18" customWidth="1"/>
    <col min="3306" max="3306" width="13.42578125" style="18" customWidth="1"/>
    <col min="3307" max="3307" width="12.28515625" style="18" customWidth="1"/>
    <col min="3308" max="3308" width="12.85546875" style="18" customWidth="1"/>
    <col min="3309" max="3309" width="14.28515625" style="18" customWidth="1"/>
    <col min="3310" max="3311" width="12.85546875" style="18" customWidth="1"/>
    <col min="3312" max="3312" width="15.140625" style="18" customWidth="1"/>
    <col min="3313" max="3314" width="16.140625" style="18" customWidth="1"/>
    <col min="3315" max="3315" width="17.140625" style="18" customWidth="1"/>
    <col min="3316" max="3316" width="13.5703125" style="18" customWidth="1"/>
    <col min="3317" max="3558" width="9.140625" style="18"/>
    <col min="3559" max="3559" width="1.85546875" style="18" customWidth="1"/>
    <col min="3560" max="3560" width="18.28515625" style="18" customWidth="1"/>
    <col min="3561" max="3561" width="16.140625" style="18" customWidth="1"/>
    <col min="3562" max="3562" width="13.42578125" style="18" customWidth="1"/>
    <col min="3563" max="3563" width="12.28515625" style="18" customWidth="1"/>
    <col min="3564" max="3564" width="12.85546875" style="18" customWidth="1"/>
    <col min="3565" max="3565" width="14.28515625" style="18" customWidth="1"/>
    <col min="3566" max="3567" width="12.85546875" style="18" customWidth="1"/>
    <col min="3568" max="3568" width="15.140625" style="18" customWidth="1"/>
    <col min="3569" max="3570" width="16.140625" style="18" customWidth="1"/>
    <col min="3571" max="3571" width="17.140625" style="18" customWidth="1"/>
    <col min="3572" max="3572" width="13.5703125" style="18" customWidth="1"/>
    <col min="3573" max="3814" width="9.140625" style="18"/>
    <col min="3815" max="3815" width="1.85546875" style="18" customWidth="1"/>
    <col min="3816" max="3816" width="18.28515625" style="18" customWidth="1"/>
    <col min="3817" max="3817" width="16.140625" style="18" customWidth="1"/>
    <col min="3818" max="3818" width="13.42578125" style="18" customWidth="1"/>
    <col min="3819" max="3819" width="12.28515625" style="18" customWidth="1"/>
    <col min="3820" max="3820" width="12.85546875" style="18" customWidth="1"/>
    <col min="3821" max="3821" width="14.28515625" style="18" customWidth="1"/>
    <col min="3822" max="3823" width="12.85546875" style="18" customWidth="1"/>
    <col min="3824" max="3824" width="15.140625" style="18" customWidth="1"/>
    <col min="3825" max="3826" width="16.140625" style="18" customWidth="1"/>
    <col min="3827" max="3827" width="17.140625" style="18" customWidth="1"/>
    <col min="3828" max="3828" width="13.5703125" style="18" customWidth="1"/>
    <col min="3829" max="4070" width="9.140625" style="18"/>
    <col min="4071" max="4071" width="1.85546875" style="18" customWidth="1"/>
    <col min="4072" max="4072" width="18.28515625" style="18" customWidth="1"/>
    <col min="4073" max="4073" width="16.140625" style="18" customWidth="1"/>
    <col min="4074" max="4074" width="13.42578125" style="18" customWidth="1"/>
    <col min="4075" max="4075" width="12.28515625" style="18" customWidth="1"/>
    <col min="4076" max="4076" width="12.85546875" style="18" customWidth="1"/>
    <col min="4077" max="4077" width="14.28515625" style="18" customWidth="1"/>
    <col min="4078" max="4079" width="12.85546875" style="18" customWidth="1"/>
    <col min="4080" max="4080" width="15.140625" style="18" customWidth="1"/>
    <col min="4081" max="4082" width="16.140625" style="18" customWidth="1"/>
    <col min="4083" max="4083" width="17.140625" style="18" customWidth="1"/>
    <col min="4084" max="4084" width="13.5703125" style="18" customWidth="1"/>
    <col min="4085" max="4326" width="9.140625" style="18"/>
    <col min="4327" max="4327" width="1.85546875" style="18" customWidth="1"/>
    <col min="4328" max="4328" width="18.28515625" style="18" customWidth="1"/>
    <col min="4329" max="4329" width="16.140625" style="18" customWidth="1"/>
    <col min="4330" max="4330" width="13.42578125" style="18" customWidth="1"/>
    <col min="4331" max="4331" width="12.28515625" style="18" customWidth="1"/>
    <col min="4332" max="4332" width="12.85546875" style="18" customWidth="1"/>
    <col min="4333" max="4333" width="14.28515625" style="18" customWidth="1"/>
    <col min="4334" max="4335" width="12.85546875" style="18" customWidth="1"/>
    <col min="4336" max="4336" width="15.140625" style="18" customWidth="1"/>
    <col min="4337" max="4338" width="16.140625" style="18" customWidth="1"/>
    <col min="4339" max="4339" width="17.140625" style="18" customWidth="1"/>
    <col min="4340" max="4340" width="13.5703125" style="18" customWidth="1"/>
    <col min="4341" max="4582" width="9.140625" style="18"/>
    <col min="4583" max="4583" width="1.85546875" style="18" customWidth="1"/>
    <col min="4584" max="4584" width="18.28515625" style="18" customWidth="1"/>
    <col min="4585" max="4585" width="16.140625" style="18" customWidth="1"/>
    <col min="4586" max="4586" width="13.42578125" style="18" customWidth="1"/>
    <col min="4587" max="4587" width="12.28515625" style="18" customWidth="1"/>
    <col min="4588" max="4588" width="12.85546875" style="18" customWidth="1"/>
    <col min="4589" max="4589" width="14.28515625" style="18" customWidth="1"/>
    <col min="4590" max="4591" width="12.85546875" style="18" customWidth="1"/>
    <col min="4592" max="4592" width="15.140625" style="18" customWidth="1"/>
    <col min="4593" max="4594" width="16.140625" style="18" customWidth="1"/>
    <col min="4595" max="4595" width="17.140625" style="18" customWidth="1"/>
    <col min="4596" max="4596" width="13.5703125" style="18" customWidth="1"/>
    <col min="4597" max="4838" width="9.140625" style="18"/>
    <col min="4839" max="4839" width="1.85546875" style="18" customWidth="1"/>
    <col min="4840" max="4840" width="18.28515625" style="18" customWidth="1"/>
    <col min="4841" max="4841" width="16.140625" style="18" customWidth="1"/>
    <col min="4842" max="4842" width="13.42578125" style="18" customWidth="1"/>
    <col min="4843" max="4843" width="12.28515625" style="18" customWidth="1"/>
    <col min="4844" max="4844" width="12.85546875" style="18" customWidth="1"/>
    <col min="4845" max="4845" width="14.28515625" style="18" customWidth="1"/>
    <col min="4846" max="4847" width="12.85546875" style="18" customWidth="1"/>
    <col min="4848" max="4848" width="15.140625" style="18" customWidth="1"/>
    <col min="4849" max="4850" width="16.140625" style="18" customWidth="1"/>
    <col min="4851" max="4851" width="17.140625" style="18" customWidth="1"/>
    <col min="4852" max="4852" width="13.5703125" style="18" customWidth="1"/>
    <col min="4853" max="5094" width="9.140625" style="18"/>
    <col min="5095" max="5095" width="1.85546875" style="18" customWidth="1"/>
    <col min="5096" max="5096" width="18.28515625" style="18" customWidth="1"/>
    <col min="5097" max="5097" width="16.140625" style="18" customWidth="1"/>
    <col min="5098" max="5098" width="13.42578125" style="18" customWidth="1"/>
    <col min="5099" max="5099" width="12.28515625" style="18" customWidth="1"/>
    <col min="5100" max="5100" width="12.85546875" style="18" customWidth="1"/>
    <col min="5101" max="5101" width="14.28515625" style="18" customWidth="1"/>
    <col min="5102" max="5103" width="12.85546875" style="18" customWidth="1"/>
    <col min="5104" max="5104" width="15.140625" style="18" customWidth="1"/>
    <col min="5105" max="5106" width="16.140625" style="18" customWidth="1"/>
    <col min="5107" max="5107" width="17.140625" style="18" customWidth="1"/>
    <col min="5108" max="5108" width="13.5703125" style="18" customWidth="1"/>
    <col min="5109" max="5350" width="9.140625" style="18"/>
    <col min="5351" max="5351" width="1.85546875" style="18" customWidth="1"/>
    <col min="5352" max="5352" width="18.28515625" style="18" customWidth="1"/>
    <col min="5353" max="5353" width="16.140625" style="18" customWidth="1"/>
    <col min="5354" max="5354" width="13.42578125" style="18" customWidth="1"/>
    <col min="5355" max="5355" width="12.28515625" style="18" customWidth="1"/>
    <col min="5356" max="5356" width="12.85546875" style="18" customWidth="1"/>
    <col min="5357" max="5357" width="14.28515625" style="18" customWidth="1"/>
    <col min="5358" max="5359" width="12.85546875" style="18" customWidth="1"/>
    <col min="5360" max="5360" width="15.140625" style="18" customWidth="1"/>
    <col min="5361" max="5362" width="16.140625" style="18" customWidth="1"/>
    <col min="5363" max="5363" width="17.140625" style="18" customWidth="1"/>
    <col min="5364" max="5364" width="13.5703125" style="18" customWidth="1"/>
    <col min="5365" max="5606" width="9.140625" style="18"/>
    <col min="5607" max="5607" width="1.85546875" style="18" customWidth="1"/>
    <col min="5608" max="5608" width="18.28515625" style="18" customWidth="1"/>
    <col min="5609" max="5609" width="16.140625" style="18" customWidth="1"/>
    <col min="5610" max="5610" width="13.42578125" style="18" customWidth="1"/>
    <col min="5611" max="5611" width="12.28515625" style="18" customWidth="1"/>
    <col min="5612" max="5612" width="12.85546875" style="18" customWidth="1"/>
    <col min="5613" max="5613" width="14.28515625" style="18" customWidth="1"/>
    <col min="5614" max="5615" width="12.85546875" style="18" customWidth="1"/>
    <col min="5616" max="5616" width="15.140625" style="18" customWidth="1"/>
    <col min="5617" max="5618" width="16.140625" style="18" customWidth="1"/>
    <col min="5619" max="5619" width="17.140625" style="18" customWidth="1"/>
    <col min="5620" max="5620" width="13.5703125" style="18" customWidth="1"/>
    <col min="5621" max="5862" width="9.140625" style="18"/>
    <col min="5863" max="5863" width="1.85546875" style="18" customWidth="1"/>
    <col min="5864" max="5864" width="18.28515625" style="18" customWidth="1"/>
    <col min="5865" max="5865" width="16.140625" style="18" customWidth="1"/>
    <col min="5866" max="5866" width="13.42578125" style="18" customWidth="1"/>
    <col min="5867" max="5867" width="12.28515625" style="18" customWidth="1"/>
    <col min="5868" max="5868" width="12.85546875" style="18" customWidth="1"/>
    <col min="5869" max="5869" width="14.28515625" style="18" customWidth="1"/>
    <col min="5870" max="5871" width="12.85546875" style="18" customWidth="1"/>
    <col min="5872" max="5872" width="15.140625" style="18" customWidth="1"/>
    <col min="5873" max="5874" width="16.140625" style="18" customWidth="1"/>
    <col min="5875" max="5875" width="17.140625" style="18" customWidth="1"/>
    <col min="5876" max="5876" width="13.5703125" style="18" customWidth="1"/>
    <col min="5877" max="6118" width="9.140625" style="18"/>
    <col min="6119" max="6119" width="1.85546875" style="18" customWidth="1"/>
    <col min="6120" max="6120" width="18.28515625" style="18" customWidth="1"/>
    <col min="6121" max="6121" width="16.140625" style="18" customWidth="1"/>
    <col min="6122" max="6122" width="13.42578125" style="18" customWidth="1"/>
    <col min="6123" max="6123" width="12.28515625" style="18" customWidth="1"/>
    <col min="6124" max="6124" width="12.85546875" style="18" customWidth="1"/>
    <col min="6125" max="6125" width="14.28515625" style="18" customWidth="1"/>
    <col min="6126" max="6127" width="12.85546875" style="18" customWidth="1"/>
    <col min="6128" max="6128" width="15.140625" style="18" customWidth="1"/>
    <col min="6129" max="6130" width="16.140625" style="18" customWidth="1"/>
    <col min="6131" max="6131" width="17.140625" style="18" customWidth="1"/>
    <col min="6132" max="6132" width="13.5703125" style="18" customWidth="1"/>
    <col min="6133" max="6374" width="9.140625" style="18"/>
    <col min="6375" max="6375" width="1.85546875" style="18" customWidth="1"/>
    <col min="6376" max="6376" width="18.28515625" style="18" customWidth="1"/>
    <col min="6377" max="6377" width="16.140625" style="18" customWidth="1"/>
    <col min="6378" max="6378" width="13.42578125" style="18" customWidth="1"/>
    <col min="6379" max="6379" width="12.28515625" style="18" customWidth="1"/>
    <col min="6380" max="6380" width="12.85546875" style="18" customWidth="1"/>
    <col min="6381" max="6381" width="14.28515625" style="18" customWidth="1"/>
    <col min="6382" max="6383" width="12.85546875" style="18" customWidth="1"/>
    <col min="6384" max="6384" width="15.140625" style="18" customWidth="1"/>
    <col min="6385" max="6386" width="16.140625" style="18" customWidth="1"/>
    <col min="6387" max="6387" width="17.140625" style="18" customWidth="1"/>
    <col min="6388" max="6388" width="13.5703125" style="18" customWidth="1"/>
    <col min="6389" max="6630" width="9.140625" style="18"/>
    <col min="6631" max="6631" width="1.85546875" style="18" customWidth="1"/>
    <col min="6632" max="6632" width="18.28515625" style="18" customWidth="1"/>
    <col min="6633" max="6633" width="16.140625" style="18" customWidth="1"/>
    <col min="6634" max="6634" width="13.42578125" style="18" customWidth="1"/>
    <col min="6635" max="6635" width="12.28515625" style="18" customWidth="1"/>
    <col min="6636" max="6636" width="12.85546875" style="18" customWidth="1"/>
    <col min="6637" max="6637" width="14.28515625" style="18" customWidth="1"/>
    <col min="6638" max="6639" width="12.85546875" style="18" customWidth="1"/>
    <col min="6640" max="6640" width="15.140625" style="18" customWidth="1"/>
    <col min="6641" max="6642" width="16.140625" style="18" customWidth="1"/>
    <col min="6643" max="6643" width="17.140625" style="18" customWidth="1"/>
    <col min="6644" max="6644" width="13.5703125" style="18" customWidth="1"/>
    <col min="6645" max="6886" width="9.140625" style="18"/>
    <col min="6887" max="6887" width="1.85546875" style="18" customWidth="1"/>
    <col min="6888" max="6888" width="18.28515625" style="18" customWidth="1"/>
    <col min="6889" max="6889" width="16.140625" style="18" customWidth="1"/>
    <col min="6890" max="6890" width="13.42578125" style="18" customWidth="1"/>
    <col min="6891" max="6891" width="12.28515625" style="18" customWidth="1"/>
    <col min="6892" max="6892" width="12.85546875" style="18" customWidth="1"/>
    <col min="6893" max="6893" width="14.28515625" style="18" customWidth="1"/>
    <col min="6894" max="6895" width="12.85546875" style="18" customWidth="1"/>
    <col min="6896" max="6896" width="15.140625" style="18" customWidth="1"/>
    <col min="6897" max="6898" width="16.140625" style="18" customWidth="1"/>
    <col min="6899" max="6899" width="17.140625" style="18" customWidth="1"/>
    <col min="6900" max="6900" width="13.5703125" style="18" customWidth="1"/>
    <col min="6901" max="7142" width="9.140625" style="18"/>
    <col min="7143" max="7143" width="1.85546875" style="18" customWidth="1"/>
    <col min="7144" max="7144" width="18.28515625" style="18" customWidth="1"/>
    <col min="7145" max="7145" width="16.140625" style="18" customWidth="1"/>
    <col min="7146" max="7146" width="13.42578125" style="18" customWidth="1"/>
    <col min="7147" max="7147" width="12.28515625" style="18" customWidth="1"/>
    <col min="7148" max="7148" width="12.85546875" style="18" customWidth="1"/>
    <col min="7149" max="7149" width="14.28515625" style="18" customWidth="1"/>
    <col min="7150" max="7151" width="12.85546875" style="18" customWidth="1"/>
    <col min="7152" max="7152" width="15.140625" style="18" customWidth="1"/>
    <col min="7153" max="7154" width="16.140625" style="18" customWidth="1"/>
    <col min="7155" max="7155" width="17.140625" style="18" customWidth="1"/>
    <col min="7156" max="7156" width="13.5703125" style="18" customWidth="1"/>
    <col min="7157" max="7398" width="9.140625" style="18"/>
    <col min="7399" max="7399" width="1.85546875" style="18" customWidth="1"/>
    <col min="7400" max="7400" width="18.28515625" style="18" customWidth="1"/>
    <col min="7401" max="7401" width="16.140625" style="18" customWidth="1"/>
    <col min="7402" max="7402" width="13.42578125" style="18" customWidth="1"/>
    <col min="7403" max="7403" width="12.28515625" style="18" customWidth="1"/>
    <col min="7404" max="7404" width="12.85546875" style="18" customWidth="1"/>
    <col min="7405" max="7405" width="14.28515625" style="18" customWidth="1"/>
    <col min="7406" max="7407" width="12.85546875" style="18" customWidth="1"/>
    <col min="7408" max="7408" width="15.140625" style="18" customWidth="1"/>
    <col min="7409" max="7410" width="16.140625" style="18" customWidth="1"/>
    <col min="7411" max="7411" width="17.140625" style="18" customWidth="1"/>
    <col min="7412" max="7412" width="13.5703125" style="18" customWidth="1"/>
    <col min="7413" max="7654" width="9.140625" style="18"/>
    <col min="7655" max="7655" width="1.85546875" style="18" customWidth="1"/>
    <col min="7656" max="7656" width="18.28515625" style="18" customWidth="1"/>
    <col min="7657" max="7657" width="16.140625" style="18" customWidth="1"/>
    <col min="7658" max="7658" width="13.42578125" style="18" customWidth="1"/>
    <col min="7659" max="7659" width="12.28515625" style="18" customWidth="1"/>
    <col min="7660" max="7660" width="12.85546875" style="18" customWidth="1"/>
    <col min="7661" max="7661" width="14.28515625" style="18" customWidth="1"/>
    <col min="7662" max="7663" width="12.85546875" style="18" customWidth="1"/>
    <col min="7664" max="7664" width="15.140625" style="18" customWidth="1"/>
    <col min="7665" max="7666" width="16.140625" style="18" customWidth="1"/>
    <col min="7667" max="7667" width="17.140625" style="18" customWidth="1"/>
    <col min="7668" max="7668" width="13.5703125" style="18" customWidth="1"/>
    <col min="7669" max="7910" width="9.140625" style="18"/>
    <col min="7911" max="7911" width="1.85546875" style="18" customWidth="1"/>
    <col min="7912" max="7912" width="18.28515625" style="18" customWidth="1"/>
    <col min="7913" max="7913" width="16.140625" style="18" customWidth="1"/>
    <col min="7914" max="7914" width="13.42578125" style="18" customWidth="1"/>
    <col min="7915" max="7915" width="12.28515625" style="18" customWidth="1"/>
    <col min="7916" max="7916" width="12.85546875" style="18" customWidth="1"/>
    <col min="7917" max="7917" width="14.28515625" style="18" customWidth="1"/>
    <col min="7918" max="7919" width="12.85546875" style="18" customWidth="1"/>
    <col min="7920" max="7920" width="15.140625" style="18" customWidth="1"/>
    <col min="7921" max="7922" width="16.140625" style="18" customWidth="1"/>
    <col min="7923" max="7923" width="17.140625" style="18" customWidth="1"/>
    <col min="7924" max="7924" width="13.5703125" style="18" customWidth="1"/>
    <col min="7925" max="8166" width="9.140625" style="18"/>
    <col min="8167" max="8167" width="1.85546875" style="18" customWidth="1"/>
    <col min="8168" max="8168" width="18.28515625" style="18" customWidth="1"/>
    <col min="8169" max="8169" width="16.140625" style="18" customWidth="1"/>
    <col min="8170" max="8170" width="13.42578125" style="18" customWidth="1"/>
    <col min="8171" max="8171" width="12.28515625" style="18" customWidth="1"/>
    <col min="8172" max="8172" width="12.85546875" style="18" customWidth="1"/>
    <col min="8173" max="8173" width="14.28515625" style="18" customWidth="1"/>
    <col min="8174" max="8175" width="12.85546875" style="18" customWidth="1"/>
    <col min="8176" max="8176" width="15.140625" style="18" customWidth="1"/>
    <col min="8177" max="8178" width="16.140625" style="18" customWidth="1"/>
    <col min="8179" max="8179" width="17.140625" style="18" customWidth="1"/>
    <col min="8180" max="8180" width="13.5703125" style="18" customWidth="1"/>
    <col min="8181" max="8422" width="9.140625" style="18"/>
    <col min="8423" max="8423" width="1.85546875" style="18" customWidth="1"/>
    <col min="8424" max="8424" width="18.28515625" style="18" customWidth="1"/>
    <col min="8425" max="8425" width="16.140625" style="18" customWidth="1"/>
    <col min="8426" max="8426" width="13.42578125" style="18" customWidth="1"/>
    <col min="8427" max="8427" width="12.28515625" style="18" customWidth="1"/>
    <col min="8428" max="8428" width="12.85546875" style="18" customWidth="1"/>
    <col min="8429" max="8429" width="14.28515625" style="18" customWidth="1"/>
    <col min="8430" max="8431" width="12.85546875" style="18" customWidth="1"/>
    <col min="8432" max="8432" width="15.140625" style="18" customWidth="1"/>
    <col min="8433" max="8434" width="16.140625" style="18" customWidth="1"/>
    <col min="8435" max="8435" width="17.140625" style="18" customWidth="1"/>
    <col min="8436" max="8436" width="13.5703125" style="18" customWidth="1"/>
    <col min="8437" max="8678" width="9.140625" style="18"/>
    <col min="8679" max="8679" width="1.85546875" style="18" customWidth="1"/>
    <col min="8680" max="8680" width="18.28515625" style="18" customWidth="1"/>
    <col min="8681" max="8681" width="16.140625" style="18" customWidth="1"/>
    <col min="8682" max="8682" width="13.42578125" style="18" customWidth="1"/>
    <col min="8683" max="8683" width="12.28515625" style="18" customWidth="1"/>
    <col min="8684" max="8684" width="12.85546875" style="18" customWidth="1"/>
    <col min="8685" max="8685" width="14.28515625" style="18" customWidth="1"/>
    <col min="8686" max="8687" width="12.85546875" style="18" customWidth="1"/>
    <col min="8688" max="8688" width="15.140625" style="18" customWidth="1"/>
    <col min="8689" max="8690" width="16.140625" style="18" customWidth="1"/>
    <col min="8691" max="8691" width="17.140625" style="18" customWidth="1"/>
    <col min="8692" max="8692" width="13.5703125" style="18" customWidth="1"/>
    <col min="8693" max="8934" width="9.140625" style="18"/>
    <col min="8935" max="8935" width="1.85546875" style="18" customWidth="1"/>
    <col min="8936" max="8936" width="18.28515625" style="18" customWidth="1"/>
    <col min="8937" max="8937" width="16.140625" style="18" customWidth="1"/>
    <col min="8938" max="8938" width="13.42578125" style="18" customWidth="1"/>
    <col min="8939" max="8939" width="12.28515625" style="18" customWidth="1"/>
    <col min="8940" max="8940" width="12.85546875" style="18" customWidth="1"/>
    <col min="8941" max="8941" width="14.28515625" style="18" customWidth="1"/>
    <col min="8942" max="8943" width="12.85546875" style="18" customWidth="1"/>
    <col min="8944" max="8944" width="15.140625" style="18" customWidth="1"/>
    <col min="8945" max="8946" width="16.140625" style="18" customWidth="1"/>
    <col min="8947" max="8947" width="17.140625" style="18" customWidth="1"/>
    <col min="8948" max="8948" width="13.5703125" style="18" customWidth="1"/>
    <col min="8949" max="9190" width="9.140625" style="18"/>
    <col min="9191" max="9191" width="1.85546875" style="18" customWidth="1"/>
    <col min="9192" max="9192" width="18.28515625" style="18" customWidth="1"/>
    <col min="9193" max="9193" width="16.140625" style="18" customWidth="1"/>
    <col min="9194" max="9194" width="13.42578125" style="18" customWidth="1"/>
    <col min="9195" max="9195" width="12.28515625" style="18" customWidth="1"/>
    <col min="9196" max="9196" width="12.85546875" style="18" customWidth="1"/>
    <col min="9197" max="9197" width="14.28515625" style="18" customWidth="1"/>
    <col min="9198" max="9199" width="12.85546875" style="18" customWidth="1"/>
    <col min="9200" max="9200" width="15.140625" style="18" customWidth="1"/>
    <col min="9201" max="9202" width="16.140625" style="18" customWidth="1"/>
    <col min="9203" max="9203" width="17.140625" style="18" customWidth="1"/>
    <col min="9204" max="9204" width="13.5703125" style="18" customWidth="1"/>
    <col min="9205" max="9446" width="9.140625" style="18"/>
    <col min="9447" max="9447" width="1.85546875" style="18" customWidth="1"/>
    <col min="9448" max="9448" width="18.28515625" style="18" customWidth="1"/>
    <col min="9449" max="9449" width="16.140625" style="18" customWidth="1"/>
    <col min="9450" max="9450" width="13.42578125" style="18" customWidth="1"/>
    <col min="9451" max="9451" width="12.28515625" style="18" customWidth="1"/>
    <col min="9452" max="9452" width="12.85546875" style="18" customWidth="1"/>
    <col min="9453" max="9453" width="14.28515625" style="18" customWidth="1"/>
    <col min="9454" max="9455" width="12.85546875" style="18" customWidth="1"/>
    <col min="9456" max="9456" width="15.140625" style="18" customWidth="1"/>
    <col min="9457" max="9458" width="16.140625" style="18" customWidth="1"/>
    <col min="9459" max="9459" width="17.140625" style="18" customWidth="1"/>
    <col min="9460" max="9460" width="13.5703125" style="18" customWidth="1"/>
    <col min="9461" max="9702" width="9.140625" style="18"/>
    <col min="9703" max="9703" width="1.85546875" style="18" customWidth="1"/>
    <col min="9704" max="9704" width="18.28515625" style="18" customWidth="1"/>
    <col min="9705" max="9705" width="16.140625" style="18" customWidth="1"/>
    <col min="9706" max="9706" width="13.42578125" style="18" customWidth="1"/>
    <col min="9707" max="9707" width="12.28515625" style="18" customWidth="1"/>
    <col min="9708" max="9708" width="12.85546875" style="18" customWidth="1"/>
    <col min="9709" max="9709" width="14.28515625" style="18" customWidth="1"/>
    <col min="9710" max="9711" width="12.85546875" style="18" customWidth="1"/>
    <col min="9712" max="9712" width="15.140625" style="18" customWidth="1"/>
    <col min="9713" max="9714" width="16.140625" style="18" customWidth="1"/>
    <col min="9715" max="9715" width="17.140625" style="18" customWidth="1"/>
    <col min="9716" max="9716" width="13.5703125" style="18" customWidth="1"/>
    <col min="9717" max="9958" width="9.140625" style="18"/>
    <col min="9959" max="9959" width="1.85546875" style="18" customWidth="1"/>
    <col min="9960" max="9960" width="18.28515625" style="18" customWidth="1"/>
    <col min="9961" max="9961" width="16.140625" style="18" customWidth="1"/>
    <col min="9962" max="9962" width="13.42578125" style="18" customWidth="1"/>
    <col min="9963" max="9963" width="12.28515625" style="18" customWidth="1"/>
    <col min="9964" max="9964" width="12.85546875" style="18" customWidth="1"/>
    <col min="9965" max="9965" width="14.28515625" style="18" customWidth="1"/>
    <col min="9966" max="9967" width="12.85546875" style="18" customWidth="1"/>
    <col min="9968" max="9968" width="15.140625" style="18" customWidth="1"/>
    <col min="9969" max="9970" width="16.140625" style="18" customWidth="1"/>
    <col min="9971" max="9971" width="17.140625" style="18" customWidth="1"/>
    <col min="9972" max="9972" width="13.5703125" style="18" customWidth="1"/>
    <col min="9973" max="10214" width="9.140625" style="18"/>
    <col min="10215" max="10215" width="1.85546875" style="18" customWidth="1"/>
    <col min="10216" max="10216" width="18.28515625" style="18" customWidth="1"/>
    <col min="10217" max="10217" width="16.140625" style="18" customWidth="1"/>
    <col min="10218" max="10218" width="13.42578125" style="18" customWidth="1"/>
    <col min="10219" max="10219" width="12.28515625" style="18" customWidth="1"/>
    <col min="10220" max="10220" width="12.85546875" style="18" customWidth="1"/>
    <col min="10221" max="10221" width="14.28515625" style="18" customWidth="1"/>
    <col min="10222" max="10223" width="12.85546875" style="18" customWidth="1"/>
    <col min="10224" max="10224" width="15.140625" style="18" customWidth="1"/>
    <col min="10225" max="10226" width="16.140625" style="18" customWidth="1"/>
    <col min="10227" max="10227" width="17.140625" style="18" customWidth="1"/>
    <col min="10228" max="10228" width="13.5703125" style="18" customWidth="1"/>
    <col min="10229" max="10470" width="9.140625" style="18"/>
    <col min="10471" max="10471" width="1.85546875" style="18" customWidth="1"/>
    <col min="10472" max="10472" width="18.28515625" style="18" customWidth="1"/>
    <col min="10473" max="10473" width="16.140625" style="18" customWidth="1"/>
    <col min="10474" max="10474" width="13.42578125" style="18" customWidth="1"/>
    <col min="10475" max="10475" width="12.28515625" style="18" customWidth="1"/>
    <col min="10476" max="10476" width="12.85546875" style="18" customWidth="1"/>
    <col min="10477" max="10477" width="14.28515625" style="18" customWidth="1"/>
    <col min="10478" max="10479" width="12.85546875" style="18" customWidth="1"/>
    <col min="10480" max="10480" width="15.140625" style="18" customWidth="1"/>
    <col min="10481" max="10482" width="16.140625" style="18" customWidth="1"/>
    <col min="10483" max="10483" width="17.140625" style="18" customWidth="1"/>
    <col min="10484" max="10484" width="13.5703125" style="18" customWidth="1"/>
    <col min="10485" max="10726" width="9.140625" style="18"/>
    <col min="10727" max="10727" width="1.85546875" style="18" customWidth="1"/>
    <col min="10728" max="10728" width="18.28515625" style="18" customWidth="1"/>
    <col min="10729" max="10729" width="16.140625" style="18" customWidth="1"/>
    <col min="10730" max="10730" width="13.42578125" style="18" customWidth="1"/>
    <col min="10731" max="10731" width="12.28515625" style="18" customWidth="1"/>
    <col min="10732" max="10732" width="12.85546875" style="18" customWidth="1"/>
    <col min="10733" max="10733" width="14.28515625" style="18" customWidth="1"/>
    <col min="10734" max="10735" width="12.85546875" style="18" customWidth="1"/>
    <col min="10736" max="10736" width="15.140625" style="18" customWidth="1"/>
    <col min="10737" max="10738" width="16.140625" style="18" customWidth="1"/>
    <col min="10739" max="10739" width="17.140625" style="18" customWidth="1"/>
    <col min="10740" max="10740" width="13.5703125" style="18" customWidth="1"/>
    <col min="10741" max="10982" width="9.140625" style="18"/>
    <col min="10983" max="10983" width="1.85546875" style="18" customWidth="1"/>
    <col min="10984" max="10984" width="18.28515625" style="18" customWidth="1"/>
    <col min="10985" max="10985" width="16.140625" style="18" customWidth="1"/>
    <col min="10986" max="10986" width="13.42578125" style="18" customWidth="1"/>
    <col min="10987" max="10987" width="12.28515625" style="18" customWidth="1"/>
    <col min="10988" max="10988" width="12.85546875" style="18" customWidth="1"/>
    <col min="10989" max="10989" width="14.28515625" style="18" customWidth="1"/>
    <col min="10990" max="10991" width="12.85546875" style="18" customWidth="1"/>
    <col min="10992" max="10992" width="15.140625" style="18" customWidth="1"/>
    <col min="10993" max="10994" width="16.140625" style="18" customWidth="1"/>
    <col min="10995" max="10995" width="17.140625" style="18" customWidth="1"/>
    <col min="10996" max="10996" width="13.5703125" style="18" customWidth="1"/>
    <col min="10997" max="11238" width="9.140625" style="18"/>
    <col min="11239" max="11239" width="1.85546875" style="18" customWidth="1"/>
    <col min="11240" max="11240" width="18.28515625" style="18" customWidth="1"/>
    <col min="11241" max="11241" width="16.140625" style="18" customWidth="1"/>
    <col min="11242" max="11242" width="13.42578125" style="18" customWidth="1"/>
    <col min="11243" max="11243" width="12.28515625" style="18" customWidth="1"/>
    <col min="11244" max="11244" width="12.85546875" style="18" customWidth="1"/>
    <col min="11245" max="11245" width="14.28515625" style="18" customWidth="1"/>
    <col min="11246" max="11247" width="12.85546875" style="18" customWidth="1"/>
    <col min="11248" max="11248" width="15.140625" style="18" customWidth="1"/>
    <col min="11249" max="11250" width="16.140625" style="18" customWidth="1"/>
    <col min="11251" max="11251" width="17.140625" style="18" customWidth="1"/>
    <col min="11252" max="11252" width="13.5703125" style="18" customWidth="1"/>
    <col min="11253" max="11494" width="9.140625" style="18"/>
    <col min="11495" max="11495" width="1.85546875" style="18" customWidth="1"/>
    <col min="11496" max="11496" width="18.28515625" style="18" customWidth="1"/>
    <col min="11497" max="11497" width="16.140625" style="18" customWidth="1"/>
    <col min="11498" max="11498" width="13.42578125" style="18" customWidth="1"/>
    <col min="11499" max="11499" width="12.28515625" style="18" customWidth="1"/>
    <col min="11500" max="11500" width="12.85546875" style="18" customWidth="1"/>
    <col min="11501" max="11501" width="14.28515625" style="18" customWidth="1"/>
    <col min="11502" max="11503" width="12.85546875" style="18" customWidth="1"/>
    <col min="11504" max="11504" width="15.140625" style="18" customWidth="1"/>
    <col min="11505" max="11506" width="16.140625" style="18" customWidth="1"/>
    <col min="11507" max="11507" width="17.140625" style="18" customWidth="1"/>
    <col min="11508" max="11508" width="13.5703125" style="18" customWidth="1"/>
    <col min="11509" max="11750" width="9.140625" style="18"/>
    <col min="11751" max="11751" width="1.85546875" style="18" customWidth="1"/>
    <col min="11752" max="11752" width="18.28515625" style="18" customWidth="1"/>
    <col min="11753" max="11753" width="16.140625" style="18" customWidth="1"/>
    <col min="11754" max="11754" width="13.42578125" style="18" customWidth="1"/>
    <col min="11755" max="11755" width="12.28515625" style="18" customWidth="1"/>
    <col min="11756" max="11756" width="12.85546875" style="18" customWidth="1"/>
    <col min="11757" max="11757" width="14.28515625" style="18" customWidth="1"/>
    <col min="11758" max="11759" width="12.85546875" style="18" customWidth="1"/>
    <col min="11760" max="11760" width="15.140625" style="18" customWidth="1"/>
    <col min="11761" max="11762" width="16.140625" style="18" customWidth="1"/>
    <col min="11763" max="11763" width="17.140625" style="18" customWidth="1"/>
    <col min="11764" max="11764" width="13.5703125" style="18" customWidth="1"/>
    <col min="11765" max="12006" width="9.140625" style="18"/>
    <col min="12007" max="12007" width="1.85546875" style="18" customWidth="1"/>
    <col min="12008" max="12008" width="18.28515625" style="18" customWidth="1"/>
    <col min="12009" max="12009" width="16.140625" style="18" customWidth="1"/>
    <col min="12010" max="12010" width="13.42578125" style="18" customWidth="1"/>
    <col min="12011" max="12011" width="12.28515625" style="18" customWidth="1"/>
    <col min="12012" max="12012" width="12.85546875" style="18" customWidth="1"/>
    <col min="12013" max="12013" width="14.28515625" style="18" customWidth="1"/>
    <col min="12014" max="12015" width="12.85546875" style="18" customWidth="1"/>
    <col min="12016" max="12016" width="15.140625" style="18" customWidth="1"/>
    <col min="12017" max="12018" width="16.140625" style="18" customWidth="1"/>
    <col min="12019" max="12019" width="17.140625" style="18" customWidth="1"/>
    <col min="12020" max="12020" width="13.5703125" style="18" customWidth="1"/>
    <col min="12021" max="12262" width="9.140625" style="18"/>
    <col min="12263" max="12263" width="1.85546875" style="18" customWidth="1"/>
    <col min="12264" max="12264" width="18.28515625" style="18" customWidth="1"/>
    <col min="12265" max="12265" width="16.140625" style="18" customWidth="1"/>
    <col min="12266" max="12266" width="13.42578125" style="18" customWidth="1"/>
    <col min="12267" max="12267" width="12.28515625" style="18" customWidth="1"/>
    <col min="12268" max="12268" width="12.85546875" style="18" customWidth="1"/>
    <col min="12269" max="12269" width="14.28515625" style="18" customWidth="1"/>
    <col min="12270" max="12271" width="12.85546875" style="18" customWidth="1"/>
    <col min="12272" max="12272" width="15.140625" style="18" customWidth="1"/>
    <col min="12273" max="12274" width="16.140625" style="18" customWidth="1"/>
    <col min="12275" max="12275" width="17.140625" style="18" customWidth="1"/>
    <col min="12276" max="12276" width="13.5703125" style="18" customWidth="1"/>
    <col min="12277" max="12518" width="9.140625" style="18"/>
    <col min="12519" max="12519" width="1.85546875" style="18" customWidth="1"/>
    <col min="12520" max="12520" width="18.28515625" style="18" customWidth="1"/>
    <col min="12521" max="12521" width="16.140625" style="18" customWidth="1"/>
    <col min="12522" max="12522" width="13.42578125" style="18" customWidth="1"/>
    <col min="12523" max="12523" width="12.28515625" style="18" customWidth="1"/>
    <col min="12524" max="12524" width="12.85546875" style="18" customWidth="1"/>
    <col min="12525" max="12525" width="14.28515625" style="18" customWidth="1"/>
    <col min="12526" max="12527" width="12.85546875" style="18" customWidth="1"/>
    <col min="12528" max="12528" width="15.140625" style="18" customWidth="1"/>
    <col min="12529" max="12530" width="16.140625" style="18" customWidth="1"/>
    <col min="12531" max="12531" width="17.140625" style="18" customWidth="1"/>
    <col min="12532" max="12532" width="13.5703125" style="18" customWidth="1"/>
    <col min="12533" max="12774" width="9.140625" style="18"/>
    <col min="12775" max="12775" width="1.85546875" style="18" customWidth="1"/>
    <col min="12776" max="12776" width="18.28515625" style="18" customWidth="1"/>
    <col min="12777" max="12777" width="16.140625" style="18" customWidth="1"/>
    <col min="12778" max="12778" width="13.42578125" style="18" customWidth="1"/>
    <col min="12779" max="12779" width="12.28515625" style="18" customWidth="1"/>
    <col min="12780" max="12780" width="12.85546875" style="18" customWidth="1"/>
    <col min="12781" max="12781" width="14.28515625" style="18" customWidth="1"/>
    <col min="12782" max="12783" width="12.85546875" style="18" customWidth="1"/>
    <col min="12784" max="12784" width="15.140625" style="18" customWidth="1"/>
    <col min="12785" max="12786" width="16.140625" style="18" customWidth="1"/>
    <col min="12787" max="12787" width="17.140625" style="18" customWidth="1"/>
    <col min="12788" max="12788" width="13.5703125" style="18" customWidth="1"/>
    <col min="12789" max="13030" width="9.140625" style="18"/>
    <col min="13031" max="13031" width="1.85546875" style="18" customWidth="1"/>
    <col min="13032" max="13032" width="18.28515625" style="18" customWidth="1"/>
    <col min="13033" max="13033" width="16.140625" style="18" customWidth="1"/>
    <col min="13034" max="13034" width="13.42578125" style="18" customWidth="1"/>
    <col min="13035" max="13035" width="12.28515625" style="18" customWidth="1"/>
    <col min="13036" max="13036" width="12.85546875" style="18" customWidth="1"/>
    <col min="13037" max="13037" width="14.28515625" style="18" customWidth="1"/>
    <col min="13038" max="13039" width="12.85546875" style="18" customWidth="1"/>
    <col min="13040" max="13040" width="15.140625" style="18" customWidth="1"/>
    <col min="13041" max="13042" width="16.140625" style="18" customWidth="1"/>
    <col min="13043" max="13043" width="17.140625" style="18" customWidth="1"/>
    <col min="13044" max="13044" width="13.5703125" style="18" customWidth="1"/>
    <col min="13045" max="13286" width="9.140625" style="18"/>
    <col min="13287" max="13287" width="1.85546875" style="18" customWidth="1"/>
    <col min="13288" max="13288" width="18.28515625" style="18" customWidth="1"/>
    <col min="13289" max="13289" width="16.140625" style="18" customWidth="1"/>
    <col min="13290" max="13290" width="13.42578125" style="18" customWidth="1"/>
    <col min="13291" max="13291" width="12.28515625" style="18" customWidth="1"/>
    <col min="13292" max="13292" width="12.85546875" style="18" customWidth="1"/>
    <col min="13293" max="13293" width="14.28515625" style="18" customWidth="1"/>
    <col min="13294" max="13295" width="12.85546875" style="18" customWidth="1"/>
    <col min="13296" max="13296" width="15.140625" style="18" customWidth="1"/>
    <col min="13297" max="13298" width="16.140625" style="18" customWidth="1"/>
    <col min="13299" max="13299" width="17.140625" style="18" customWidth="1"/>
    <col min="13300" max="13300" width="13.5703125" style="18" customWidth="1"/>
    <col min="13301" max="13542" width="9.140625" style="18"/>
    <col min="13543" max="13543" width="1.85546875" style="18" customWidth="1"/>
    <col min="13544" max="13544" width="18.28515625" style="18" customWidth="1"/>
    <col min="13545" max="13545" width="16.140625" style="18" customWidth="1"/>
    <col min="13546" max="13546" width="13.42578125" style="18" customWidth="1"/>
    <col min="13547" max="13547" width="12.28515625" style="18" customWidth="1"/>
    <col min="13548" max="13548" width="12.85546875" style="18" customWidth="1"/>
    <col min="13549" max="13549" width="14.28515625" style="18" customWidth="1"/>
    <col min="13550" max="13551" width="12.85546875" style="18" customWidth="1"/>
    <col min="13552" max="13552" width="15.140625" style="18" customWidth="1"/>
    <col min="13553" max="13554" width="16.140625" style="18" customWidth="1"/>
    <col min="13555" max="13555" width="17.140625" style="18" customWidth="1"/>
    <col min="13556" max="13556" width="13.5703125" style="18" customWidth="1"/>
    <col min="13557" max="13798" width="9.140625" style="18"/>
    <col min="13799" max="13799" width="1.85546875" style="18" customWidth="1"/>
    <col min="13800" max="13800" width="18.28515625" style="18" customWidth="1"/>
    <col min="13801" max="13801" width="16.140625" style="18" customWidth="1"/>
    <col min="13802" max="13802" width="13.42578125" style="18" customWidth="1"/>
    <col min="13803" max="13803" width="12.28515625" style="18" customWidth="1"/>
    <col min="13804" max="13804" width="12.85546875" style="18" customWidth="1"/>
    <col min="13805" max="13805" width="14.28515625" style="18" customWidth="1"/>
    <col min="13806" max="13807" width="12.85546875" style="18" customWidth="1"/>
    <col min="13808" max="13808" width="15.140625" style="18" customWidth="1"/>
    <col min="13809" max="13810" width="16.140625" style="18" customWidth="1"/>
    <col min="13811" max="13811" width="17.140625" style="18" customWidth="1"/>
    <col min="13812" max="13812" width="13.5703125" style="18" customWidth="1"/>
    <col min="13813" max="14054" width="9.140625" style="18"/>
    <col min="14055" max="14055" width="1.85546875" style="18" customWidth="1"/>
    <col min="14056" max="14056" width="18.28515625" style="18" customWidth="1"/>
    <col min="14057" max="14057" width="16.140625" style="18" customWidth="1"/>
    <col min="14058" max="14058" width="13.42578125" style="18" customWidth="1"/>
    <col min="14059" max="14059" width="12.28515625" style="18" customWidth="1"/>
    <col min="14060" max="14060" width="12.85546875" style="18" customWidth="1"/>
    <col min="14061" max="14061" width="14.28515625" style="18" customWidth="1"/>
    <col min="14062" max="14063" width="12.85546875" style="18" customWidth="1"/>
    <col min="14064" max="14064" width="15.140625" style="18" customWidth="1"/>
    <col min="14065" max="14066" width="16.140625" style="18" customWidth="1"/>
    <col min="14067" max="14067" width="17.140625" style="18" customWidth="1"/>
    <col min="14068" max="14068" width="13.5703125" style="18" customWidth="1"/>
    <col min="14069" max="14310" width="9.140625" style="18"/>
    <col min="14311" max="14311" width="1.85546875" style="18" customWidth="1"/>
    <col min="14312" max="14312" width="18.28515625" style="18" customWidth="1"/>
    <col min="14313" max="14313" width="16.140625" style="18" customWidth="1"/>
    <col min="14314" max="14314" width="13.42578125" style="18" customWidth="1"/>
    <col min="14315" max="14315" width="12.28515625" style="18" customWidth="1"/>
    <col min="14316" max="14316" width="12.85546875" style="18" customWidth="1"/>
    <col min="14317" max="14317" width="14.28515625" style="18" customWidth="1"/>
    <col min="14318" max="14319" width="12.85546875" style="18" customWidth="1"/>
    <col min="14320" max="14320" width="15.140625" style="18" customWidth="1"/>
    <col min="14321" max="14322" width="16.140625" style="18" customWidth="1"/>
    <col min="14323" max="14323" width="17.140625" style="18" customWidth="1"/>
    <col min="14324" max="14324" width="13.5703125" style="18" customWidth="1"/>
    <col min="14325" max="14566" width="9.140625" style="18"/>
    <col min="14567" max="14567" width="1.85546875" style="18" customWidth="1"/>
    <col min="14568" max="14568" width="18.28515625" style="18" customWidth="1"/>
    <col min="14569" max="14569" width="16.140625" style="18" customWidth="1"/>
    <col min="14570" max="14570" width="13.42578125" style="18" customWidth="1"/>
    <col min="14571" max="14571" width="12.28515625" style="18" customWidth="1"/>
    <col min="14572" max="14572" width="12.85546875" style="18" customWidth="1"/>
    <col min="14573" max="14573" width="14.28515625" style="18" customWidth="1"/>
    <col min="14574" max="14575" width="12.85546875" style="18" customWidth="1"/>
    <col min="14576" max="14576" width="15.140625" style="18" customWidth="1"/>
    <col min="14577" max="14578" width="16.140625" style="18" customWidth="1"/>
    <col min="14579" max="14579" width="17.140625" style="18" customWidth="1"/>
    <col min="14580" max="14580" width="13.5703125" style="18" customWidth="1"/>
    <col min="14581" max="14822" width="9.140625" style="18"/>
    <col min="14823" max="14823" width="1.85546875" style="18" customWidth="1"/>
    <col min="14824" max="14824" width="18.28515625" style="18" customWidth="1"/>
    <col min="14825" max="14825" width="16.140625" style="18" customWidth="1"/>
    <col min="14826" max="14826" width="13.42578125" style="18" customWidth="1"/>
    <col min="14827" max="14827" width="12.28515625" style="18" customWidth="1"/>
    <col min="14828" max="14828" width="12.85546875" style="18" customWidth="1"/>
    <col min="14829" max="14829" width="14.28515625" style="18" customWidth="1"/>
    <col min="14830" max="14831" width="12.85546875" style="18" customWidth="1"/>
    <col min="14832" max="14832" width="15.140625" style="18" customWidth="1"/>
    <col min="14833" max="14834" width="16.140625" style="18" customWidth="1"/>
    <col min="14835" max="14835" width="17.140625" style="18" customWidth="1"/>
    <col min="14836" max="14836" width="13.5703125" style="18" customWidth="1"/>
    <col min="14837" max="15078" width="9.140625" style="18"/>
    <col min="15079" max="15079" width="1.85546875" style="18" customWidth="1"/>
    <col min="15080" max="15080" width="18.28515625" style="18" customWidth="1"/>
    <col min="15081" max="15081" width="16.140625" style="18" customWidth="1"/>
    <col min="15082" max="15082" width="13.42578125" style="18" customWidth="1"/>
    <col min="15083" max="15083" width="12.28515625" style="18" customWidth="1"/>
    <col min="15084" max="15084" width="12.85546875" style="18" customWidth="1"/>
    <col min="15085" max="15085" width="14.28515625" style="18" customWidth="1"/>
    <col min="15086" max="15087" width="12.85546875" style="18" customWidth="1"/>
    <col min="15088" max="15088" width="15.140625" style="18" customWidth="1"/>
    <col min="15089" max="15090" width="16.140625" style="18" customWidth="1"/>
    <col min="15091" max="15091" width="17.140625" style="18" customWidth="1"/>
    <col min="15092" max="15092" width="13.5703125" style="18" customWidth="1"/>
    <col min="15093" max="15334" width="9.140625" style="18"/>
    <col min="15335" max="15335" width="1.85546875" style="18" customWidth="1"/>
    <col min="15336" max="15336" width="18.28515625" style="18" customWidth="1"/>
    <col min="15337" max="15337" width="16.140625" style="18" customWidth="1"/>
    <col min="15338" max="15338" width="13.42578125" style="18" customWidth="1"/>
    <col min="15339" max="15339" width="12.28515625" style="18" customWidth="1"/>
    <col min="15340" max="15340" width="12.85546875" style="18" customWidth="1"/>
    <col min="15341" max="15341" width="14.28515625" style="18" customWidth="1"/>
    <col min="15342" max="15343" width="12.85546875" style="18" customWidth="1"/>
    <col min="15344" max="15344" width="15.140625" style="18" customWidth="1"/>
    <col min="15345" max="15346" width="16.140625" style="18" customWidth="1"/>
    <col min="15347" max="15347" width="17.140625" style="18" customWidth="1"/>
    <col min="15348" max="15348" width="13.5703125" style="18" customWidth="1"/>
    <col min="15349" max="15590" width="9.140625" style="18"/>
    <col min="15591" max="15591" width="1.85546875" style="18" customWidth="1"/>
    <col min="15592" max="15592" width="18.28515625" style="18" customWidth="1"/>
    <col min="15593" max="15593" width="16.140625" style="18" customWidth="1"/>
    <col min="15594" max="15594" width="13.42578125" style="18" customWidth="1"/>
    <col min="15595" max="15595" width="12.28515625" style="18" customWidth="1"/>
    <col min="15596" max="15596" width="12.85546875" style="18" customWidth="1"/>
    <col min="15597" max="15597" width="14.28515625" style="18" customWidth="1"/>
    <col min="15598" max="15599" width="12.85546875" style="18" customWidth="1"/>
    <col min="15600" max="15600" width="15.140625" style="18" customWidth="1"/>
    <col min="15601" max="15602" width="16.140625" style="18" customWidth="1"/>
    <col min="15603" max="15603" width="17.140625" style="18" customWidth="1"/>
    <col min="15604" max="15604" width="13.5703125" style="18" customWidth="1"/>
    <col min="15605" max="15846" width="9.140625" style="18"/>
    <col min="15847" max="15847" width="1.85546875" style="18" customWidth="1"/>
    <col min="15848" max="15848" width="18.28515625" style="18" customWidth="1"/>
    <col min="15849" max="15849" width="16.140625" style="18" customWidth="1"/>
    <col min="15850" max="15850" width="13.42578125" style="18" customWidth="1"/>
    <col min="15851" max="15851" width="12.28515625" style="18" customWidth="1"/>
    <col min="15852" max="15852" width="12.85546875" style="18" customWidth="1"/>
    <col min="15853" max="15853" width="14.28515625" style="18" customWidth="1"/>
    <col min="15854" max="15855" width="12.85546875" style="18" customWidth="1"/>
    <col min="15856" max="15856" width="15.140625" style="18" customWidth="1"/>
    <col min="15857" max="15858" width="16.140625" style="18" customWidth="1"/>
    <col min="15859" max="15859" width="17.140625" style="18" customWidth="1"/>
    <col min="15860" max="15860" width="13.5703125" style="18" customWidth="1"/>
    <col min="15861" max="16102" width="9.140625" style="18"/>
    <col min="16103" max="16103" width="1.85546875" style="18" customWidth="1"/>
    <col min="16104" max="16104" width="18.28515625" style="18" customWidth="1"/>
    <col min="16105" max="16105" width="16.140625" style="18" customWidth="1"/>
    <col min="16106" max="16106" width="13.42578125" style="18" customWidth="1"/>
    <col min="16107" max="16107" width="12.28515625" style="18" customWidth="1"/>
    <col min="16108" max="16108" width="12.85546875" style="18" customWidth="1"/>
    <col min="16109" max="16109" width="14.28515625" style="18" customWidth="1"/>
    <col min="16110" max="16111" width="12.85546875" style="18" customWidth="1"/>
    <col min="16112" max="16112" width="15.140625" style="18" customWidth="1"/>
    <col min="16113" max="16114" width="16.140625" style="18" customWidth="1"/>
    <col min="16115" max="16115" width="17.140625" style="18" customWidth="1"/>
    <col min="16116" max="16116" width="13.5703125" style="18" customWidth="1"/>
    <col min="16117" max="16384" width="9.140625" style="18"/>
  </cols>
  <sheetData>
    <row r="1" spans="2:10" x14ac:dyDescent="0.2">
      <c r="B1" s="28"/>
      <c r="C1" s="39"/>
    </row>
    <row r="2" spans="2:10" x14ac:dyDescent="0.2">
      <c r="B2" s="28"/>
      <c r="C2" s="39"/>
    </row>
    <row r="3" spans="2:10" x14ac:dyDescent="0.2">
      <c r="B3" s="39"/>
      <c r="C3" s="39"/>
    </row>
    <row r="4" spans="2:10" s="294" customFormat="1" x14ac:dyDescent="0.2">
      <c r="B4" s="42" t="str">
        <f>'Key Inputs'!B4</f>
        <v>Company Name:</v>
      </c>
      <c r="C4" s="43" t="str">
        <f>'Key Inputs'!C4</f>
        <v>U. S. Steel Corp.</v>
      </c>
      <c r="D4" s="366"/>
      <c r="E4" s="366"/>
      <c r="F4" s="365"/>
    </row>
    <row r="5" spans="2:10" s="294" customFormat="1" x14ac:dyDescent="0.2">
      <c r="B5" s="42" t="str">
        <f>'Key Inputs'!B5</f>
        <v>Site Name:</v>
      </c>
      <c r="C5" s="43" t="str">
        <f>'Key Inputs'!C5</f>
        <v>Irvin Plant</v>
      </c>
      <c r="D5" s="365"/>
      <c r="E5" s="365"/>
      <c r="F5" s="206"/>
    </row>
    <row r="6" spans="2:10" s="294" customFormat="1" x14ac:dyDescent="0.2">
      <c r="B6" s="42" t="str">
        <f>'Key Inputs'!B6</f>
        <v>Description:</v>
      </c>
      <c r="C6" s="43" t="str">
        <f>'Key Inputs'!C6</f>
        <v>Boiler Installation Permit</v>
      </c>
      <c r="D6" s="365"/>
      <c r="E6" s="365"/>
      <c r="F6" s="365"/>
    </row>
    <row r="7" spans="2:10" s="294" customFormat="1" ht="9" customHeight="1" x14ac:dyDescent="0.2">
      <c r="B7" s="367"/>
      <c r="C7" s="366"/>
      <c r="D7" s="366"/>
      <c r="E7" s="366"/>
      <c r="F7" s="366"/>
      <c r="G7" s="366"/>
    </row>
    <row r="8" spans="2:10" x14ac:dyDescent="0.2">
      <c r="B8" s="368" t="str">
        <f ca="1">CONCATENATE("TABLE ",_xlfn.SHEET()-3,". Air Toxics Emissions Summary")</f>
        <v>TABLE 5. Air Toxics Emissions Summary</v>
      </c>
      <c r="C8" s="369"/>
      <c r="D8" s="369"/>
      <c r="E8" s="369"/>
      <c r="F8" s="369"/>
      <c r="G8" s="370"/>
    </row>
    <row r="9" spans="2:10" ht="13.5" thickBot="1" x14ac:dyDescent="0.25">
      <c r="B9" s="368"/>
      <c r="C9" s="482" t="s">
        <v>224</v>
      </c>
      <c r="D9" s="482" t="s">
        <v>225</v>
      </c>
      <c r="E9" s="482" t="s">
        <v>226</v>
      </c>
      <c r="F9" s="482" t="s">
        <v>227</v>
      </c>
      <c r="G9" s="482" t="s">
        <v>228</v>
      </c>
    </row>
    <row r="10" spans="2:10" ht="12.75" customHeight="1" x14ac:dyDescent="0.2">
      <c r="B10" s="585" t="s">
        <v>229</v>
      </c>
      <c r="C10" s="582" t="s">
        <v>230</v>
      </c>
      <c r="D10" s="583"/>
      <c r="E10" s="583"/>
      <c r="F10" s="584"/>
      <c r="G10" s="580" t="s">
        <v>231</v>
      </c>
      <c r="H10" s="580" t="s">
        <v>232</v>
      </c>
      <c r="I10" s="306"/>
    </row>
    <row r="11" spans="2:10" ht="26.25" thickBot="1" x14ac:dyDescent="0.25">
      <c r="B11" s="586"/>
      <c r="C11" s="371" t="s">
        <v>233</v>
      </c>
      <c r="D11" s="371" t="s">
        <v>234</v>
      </c>
      <c r="E11" s="371" t="s">
        <v>235</v>
      </c>
      <c r="F11" s="372" t="s">
        <v>236</v>
      </c>
      <c r="G11" s="581"/>
      <c r="H11" s="581"/>
      <c r="J11" s="306"/>
    </row>
    <row r="12" spans="2:10" x14ac:dyDescent="0.2">
      <c r="B12" s="295" t="s">
        <v>237</v>
      </c>
      <c r="C12" s="501">
        <f t="shared" ref="C12:E18" si="0">SUMIFS($G$106:$G$222,$C$106:$C$222,$B12,$A$106:$A$222,E$9)-SUMIFS($G$24:$G$101,$C$24:$C$101,$B12,$A$24:$A$101,E$9)</f>
        <v>-0.20937845330339597</v>
      </c>
      <c r="D12" s="502">
        <f t="shared" si="0"/>
        <v>-0.20937845330339597</v>
      </c>
      <c r="E12" s="296">
        <f t="shared" si="0"/>
        <v>0.13214854523341746</v>
      </c>
      <c r="F12" s="503">
        <f>SUM(C12:E12)</f>
        <v>-0.28660836137337448</v>
      </c>
      <c r="G12" s="373">
        <v>20</v>
      </c>
      <c r="H12" s="297" t="str">
        <f>IF(F12&gt;G12,"Yes","No")</f>
        <v>No</v>
      </c>
      <c r="J12" s="374"/>
    </row>
    <row r="13" spans="2:10" x14ac:dyDescent="0.2">
      <c r="B13" s="298" t="s">
        <v>238</v>
      </c>
      <c r="C13" s="483">
        <f t="shared" si="0"/>
        <v>-5323.4128031120927</v>
      </c>
      <c r="D13" s="483">
        <f t="shared" si="0"/>
        <v>-5323.4128031120927</v>
      </c>
      <c r="E13" s="300">
        <f t="shared" si="0"/>
        <v>6973.810321867385</v>
      </c>
      <c r="F13" s="504">
        <f t="shared" ref="F13:F18" si="1">SUM(C13:E13)</f>
        <v>-3673.0152843568003</v>
      </c>
      <c r="G13" s="307">
        <v>500</v>
      </c>
      <c r="H13" s="301" t="str">
        <f t="shared" ref="H13:H18" si="2">IF(F13&gt;G13,"Yes","No")</f>
        <v>No</v>
      </c>
      <c r="J13" s="374"/>
    </row>
    <row r="14" spans="2:10" x14ac:dyDescent="0.2">
      <c r="B14" s="298" t="s">
        <v>239</v>
      </c>
      <c r="C14" s="300">
        <f t="shared" si="0"/>
        <v>-0.10193692955374681</v>
      </c>
      <c r="D14" s="300">
        <f t="shared" si="0"/>
        <v>-0.10193692955374681</v>
      </c>
      <c r="E14" s="300">
        <f t="shared" si="0"/>
        <v>6.4337169052296736E-2</v>
      </c>
      <c r="F14" s="375">
        <f t="shared" si="1"/>
        <v>-0.13953669005519687</v>
      </c>
      <c r="G14" s="307">
        <v>20</v>
      </c>
      <c r="H14" s="301" t="str">
        <f t="shared" si="2"/>
        <v>No</v>
      </c>
      <c r="J14" s="374"/>
    </row>
    <row r="15" spans="2:10" x14ac:dyDescent="0.2">
      <c r="B15" s="298" t="s">
        <v>240</v>
      </c>
      <c r="C15" s="300">
        <f t="shared" si="0"/>
        <v>-0.47858318087723817</v>
      </c>
      <c r="D15" s="300">
        <f t="shared" si="0"/>
        <v>-0.47858318087723817</v>
      </c>
      <c r="E15" s="300">
        <f t="shared" si="0"/>
        <v>0.30205625329778268</v>
      </c>
      <c r="F15" s="375">
        <f t="shared" si="1"/>
        <v>-0.65511010845669371</v>
      </c>
      <c r="G15" s="307">
        <v>20</v>
      </c>
      <c r="H15" s="301" t="str">
        <f t="shared" si="2"/>
        <v>No</v>
      </c>
      <c r="J15" s="374"/>
    </row>
    <row r="16" spans="2:10" x14ac:dyDescent="0.2">
      <c r="B16" s="298" t="s">
        <v>241</v>
      </c>
      <c r="C16" s="300">
        <f t="shared" si="0"/>
        <v>0</v>
      </c>
      <c r="D16" s="300">
        <f t="shared" si="0"/>
        <v>0</v>
      </c>
      <c r="E16" s="300">
        <f t="shared" si="0"/>
        <v>0</v>
      </c>
      <c r="F16" s="375">
        <f t="shared" si="1"/>
        <v>0</v>
      </c>
      <c r="G16" s="301">
        <v>0.02</v>
      </c>
      <c r="H16" s="301" t="str">
        <f t="shared" si="2"/>
        <v>No</v>
      </c>
      <c r="J16" s="374"/>
    </row>
    <row r="17" spans="1:10" x14ac:dyDescent="0.2">
      <c r="B17" s="298" t="s">
        <v>242</v>
      </c>
      <c r="C17" s="300">
        <f t="shared" si="0"/>
        <v>0</v>
      </c>
      <c r="D17" s="300">
        <f t="shared" si="0"/>
        <v>0</v>
      </c>
      <c r="E17" s="300">
        <f t="shared" si="0"/>
        <v>0</v>
      </c>
      <c r="F17" s="375">
        <f t="shared" si="1"/>
        <v>0</v>
      </c>
      <c r="G17" s="301">
        <v>0.02</v>
      </c>
      <c r="H17" s="301" t="str">
        <f t="shared" si="2"/>
        <v>No</v>
      </c>
      <c r="J17" s="374"/>
    </row>
    <row r="18" spans="1:10" ht="13.5" thickBot="1" x14ac:dyDescent="0.25">
      <c r="B18" s="376" t="s">
        <v>243</v>
      </c>
      <c r="C18" s="302">
        <f t="shared" si="0"/>
        <v>0</v>
      </c>
      <c r="D18" s="302">
        <f t="shared" si="0"/>
        <v>0</v>
      </c>
      <c r="E18" s="302">
        <f t="shared" si="0"/>
        <v>0</v>
      </c>
      <c r="F18" s="377">
        <f t="shared" si="1"/>
        <v>0</v>
      </c>
      <c r="G18" s="378">
        <v>20</v>
      </c>
      <c r="H18" s="305" t="str">
        <f t="shared" si="2"/>
        <v>No</v>
      </c>
      <c r="J18" s="374"/>
    </row>
    <row r="19" spans="1:10" x14ac:dyDescent="0.2">
      <c r="B19" s="303"/>
      <c r="C19" s="304"/>
      <c r="D19" s="304"/>
      <c r="E19" s="304"/>
      <c r="F19" s="304"/>
      <c r="G19" s="304"/>
    </row>
    <row r="21" spans="1:10" x14ac:dyDescent="0.2">
      <c r="B21" s="379" t="s">
        <v>244</v>
      </c>
    </row>
    <row r="22" spans="1:10" x14ac:dyDescent="0.2">
      <c r="B22" s="578" t="s">
        <v>136</v>
      </c>
      <c r="C22" s="578" t="s">
        <v>245</v>
      </c>
      <c r="D22" s="578" t="s">
        <v>246</v>
      </c>
      <c r="E22" s="578" t="s">
        <v>37</v>
      </c>
      <c r="F22" s="578" t="s">
        <v>247</v>
      </c>
      <c r="G22" s="578"/>
      <c r="H22" s="578"/>
      <c r="I22" s="578" t="s">
        <v>248</v>
      </c>
      <c r="J22" s="381"/>
    </row>
    <row r="23" spans="1:10" x14ac:dyDescent="0.2">
      <c r="B23" s="579"/>
      <c r="C23" s="579"/>
      <c r="D23" s="579"/>
      <c r="E23" s="579"/>
      <c r="F23" s="382" t="s">
        <v>249</v>
      </c>
      <c r="G23" s="382" t="s">
        <v>250</v>
      </c>
      <c r="H23" s="382" t="s">
        <v>251</v>
      </c>
      <c r="I23" s="579"/>
      <c r="J23" s="381"/>
    </row>
    <row r="24" spans="1:10" x14ac:dyDescent="0.2">
      <c r="B24" s="383" t="s">
        <v>252</v>
      </c>
      <c r="C24" s="384"/>
      <c r="D24" s="384"/>
      <c r="E24" s="384"/>
      <c r="F24" s="384"/>
      <c r="G24" s="384"/>
      <c r="H24" s="384"/>
      <c r="I24" s="385"/>
    </row>
    <row r="25" spans="1:10" x14ac:dyDescent="0.2">
      <c r="A25" s="18" t="s">
        <v>226</v>
      </c>
      <c r="B25" s="386" t="s">
        <v>156</v>
      </c>
      <c r="C25" s="386" t="s">
        <v>238</v>
      </c>
      <c r="D25" s="387">
        <v>2.76E-5</v>
      </c>
      <c r="E25" s="388" t="s">
        <v>203</v>
      </c>
      <c r="F25" s="387">
        <f>_xlfn.XLOOKUP($B25,'12c. Boiler 3 (B003)'!$B$24:$B$84,'12c. Boiler 3 (B003)'!$C$24:$C$84)</f>
        <v>1.074150996351389E-6</v>
      </c>
      <c r="G25" s="387">
        <f>H25*2000</f>
        <v>9.4095627280381677E-3</v>
      </c>
      <c r="H25" s="387">
        <f>_xlfn.XLOOKUP($B25,'12c. Boiler 3 (B003)'!$B$24:$B$84,'12c. Boiler 3 (B003)'!$D$24:$D$84)</f>
        <v>4.7047813640190836E-6</v>
      </c>
      <c r="I25" s="387" t="s">
        <v>208</v>
      </c>
      <c r="J25" s="389"/>
    </row>
    <row r="26" spans="1:10" x14ac:dyDescent="0.2">
      <c r="A26" s="18" t="s">
        <v>226</v>
      </c>
      <c r="B26" s="380" t="s">
        <v>157</v>
      </c>
      <c r="C26" s="380" t="s">
        <v>238</v>
      </c>
      <c r="D26" s="390">
        <v>2.0699999999999997E-6</v>
      </c>
      <c r="E26" s="391" t="s">
        <v>203</v>
      </c>
      <c r="F26" s="387">
        <f>_xlfn.XLOOKUP($B26,'12c. Boiler 3 (B003)'!$B$24:$B$84,'12c. Boiler 3 (B003)'!$C$24:$C$84)</f>
        <v>8.0561324726354178E-8</v>
      </c>
      <c r="G26" s="390">
        <f t="shared" ref="G26" si="3">H26*2000</f>
        <v>7.0571720460286256E-4</v>
      </c>
      <c r="H26" s="387">
        <f>_xlfn.XLOOKUP($B26,'12c. Boiler 3 (B003)'!$B$24:$B$84,'12c. Boiler 3 (B003)'!$D$24:$D$84)</f>
        <v>3.5285860230143129E-7</v>
      </c>
      <c r="I26" s="390" t="s">
        <v>208</v>
      </c>
      <c r="J26" s="389"/>
    </row>
    <row r="27" spans="1:10" x14ac:dyDescent="0.2">
      <c r="A27" s="18" t="s">
        <v>226</v>
      </c>
      <c r="B27" s="380" t="s">
        <v>158</v>
      </c>
      <c r="C27" s="380" t="s">
        <v>238</v>
      </c>
      <c r="D27" s="390">
        <v>1.8399999999999997E-5</v>
      </c>
      <c r="E27" s="391" t="s">
        <v>203</v>
      </c>
      <c r="F27" s="387">
        <f>_xlfn.XLOOKUP($B27,'12c. Boiler 3 (B003)'!$B$24:$B$84,'12c. Boiler 3 (B003)'!$C$24:$C$84)</f>
        <v>7.1610066423425934E-7</v>
      </c>
      <c r="G27" s="390">
        <f>H27*2000</f>
        <v>6.2730418186921115E-3</v>
      </c>
      <c r="H27" s="387">
        <f>_xlfn.XLOOKUP($B27,'12c. Boiler 3 (B003)'!$B$24:$B$84,'12c. Boiler 3 (B003)'!$D$24:$D$84)</f>
        <v>3.1365209093460556E-6</v>
      </c>
      <c r="I27" s="390" t="s">
        <v>208</v>
      </c>
      <c r="J27" s="389"/>
    </row>
    <row r="28" spans="1:10" x14ac:dyDescent="0.2">
      <c r="A28" s="18" t="s">
        <v>226</v>
      </c>
      <c r="B28" s="380" t="s">
        <v>159</v>
      </c>
      <c r="C28" s="380" t="s">
        <v>238</v>
      </c>
      <c r="D28" s="390">
        <v>2.0699999999999997E-6</v>
      </c>
      <c r="E28" s="391" t="s">
        <v>203</v>
      </c>
      <c r="F28" s="387">
        <f>_xlfn.XLOOKUP($B28,'12c. Boiler 3 (B003)'!$B$24:$B$84,'12c. Boiler 3 (B003)'!$C$24:$C$84)</f>
        <v>8.0561324726354178E-8</v>
      </c>
      <c r="G28" s="390">
        <f t="shared" ref="G28:G62" si="4">H28*2000</f>
        <v>7.0571720460286256E-4</v>
      </c>
      <c r="H28" s="387">
        <f>_xlfn.XLOOKUP($B28,'12c. Boiler 3 (B003)'!$B$24:$B$84,'12c. Boiler 3 (B003)'!$D$24:$D$84)</f>
        <v>3.5285860230143129E-7</v>
      </c>
      <c r="I28" s="390" t="s">
        <v>208</v>
      </c>
      <c r="J28" s="389"/>
    </row>
    <row r="29" spans="1:10" x14ac:dyDescent="0.2">
      <c r="A29" s="18" t="s">
        <v>226</v>
      </c>
      <c r="B29" s="380" t="s">
        <v>160</v>
      </c>
      <c r="C29" s="380" t="s">
        <v>238</v>
      </c>
      <c r="D29" s="390">
        <v>2.0699999999999997E-6</v>
      </c>
      <c r="E29" s="391" t="s">
        <v>203</v>
      </c>
      <c r="F29" s="387">
        <f>_xlfn.XLOOKUP($B29,'12c. Boiler 3 (B003)'!$B$24:$B$84,'12c. Boiler 3 (B003)'!$C$24:$C$84)</f>
        <v>8.0561324726354178E-8</v>
      </c>
      <c r="G29" s="390">
        <f t="shared" si="4"/>
        <v>7.0571720460286256E-4</v>
      </c>
      <c r="H29" s="387">
        <f>_xlfn.XLOOKUP($B29,'12c. Boiler 3 (B003)'!$B$24:$B$84,'12c. Boiler 3 (B003)'!$D$24:$D$84)</f>
        <v>3.5285860230143129E-7</v>
      </c>
      <c r="I29" s="390" t="s">
        <v>208</v>
      </c>
      <c r="J29" s="389"/>
    </row>
    <row r="30" spans="1:10" x14ac:dyDescent="0.2">
      <c r="A30" s="18" t="s">
        <v>226</v>
      </c>
      <c r="B30" s="380" t="s">
        <v>161</v>
      </c>
      <c r="C30" s="380" t="s">
        <v>238</v>
      </c>
      <c r="D30" s="390">
        <v>2.7599999999999998E-6</v>
      </c>
      <c r="E30" s="391" t="s">
        <v>203</v>
      </c>
      <c r="F30" s="387">
        <f>_xlfn.XLOOKUP($B30,'12c. Boiler 3 (B003)'!$B$24:$B$84,'12c. Boiler 3 (B003)'!$C$24:$C$84)</f>
        <v>1.0741509963513891E-7</v>
      </c>
      <c r="G30" s="390">
        <f t="shared" si="4"/>
        <v>9.4095627280381682E-4</v>
      </c>
      <c r="H30" s="387">
        <f>_xlfn.XLOOKUP($B30,'12c. Boiler 3 (B003)'!$B$24:$B$84,'12c. Boiler 3 (B003)'!$D$24:$D$84)</f>
        <v>4.7047813640190843E-7</v>
      </c>
      <c r="I30" s="390" t="s">
        <v>208</v>
      </c>
      <c r="J30" s="389"/>
    </row>
    <row r="31" spans="1:10" x14ac:dyDescent="0.2">
      <c r="A31" s="18" t="s">
        <v>226</v>
      </c>
      <c r="B31" s="380" t="s">
        <v>162</v>
      </c>
      <c r="C31" s="380" t="s">
        <v>240</v>
      </c>
      <c r="D31" s="390">
        <v>2.0699999999999997E-6</v>
      </c>
      <c r="E31" s="391" t="s">
        <v>203</v>
      </c>
      <c r="F31" s="387">
        <f>_xlfn.XLOOKUP($B31,'12c. Boiler 3 (B003)'!$B$24:$B$84,'12c. Boiler 3 (B003)'!$C$24:$C$84)</f>
        <v>8.0561324726354178E-8</v>
      </c>
      <c r="G31" s="390">
        <f t="shared" si="4"/>
        <v>7.0571720460286256E-4</v>
      </c>
      <c r="H31" s="387">
        <f>_xlfn.XLOOKUP($B31,'12c. Boiler 3 (B003)'!$B$24:$B$84,'12c. Boiler 3 (B003)'!$D$24:$D$84)</f>
        <v>3.5285860230143129E-7</v>
      </c>
      <c r="I31" s="390" t="s">
        <v>208</v>
      </c>
      <c r="J31" s="389"/>
    </row>
    <row r="32" spans="1:10" x14ac:dyDescent="0.2">
      <c r="A32" s="18" t="s">
        <v>226</v>
      </c>
      <c r="B32" s="380" t="s">
        <v>163</v>
      </c>
      <c r="C32" s="380" t="s">
        <v>238</v>
      </c>
      <c r="D32" s="390">
        <v>2.3E-2</v>
      </c>
      <c r="E32" s="391" t="s">
        <v>203</v>
      </c>
      <c r="F32" s="387">
        <f>_xlfn.XLOOKUP($B32,'12c. Boiler 3 (B003)'!$B$24:$B$84,'12c. Boiler 3 (B003)'!$C$24:$C$84)</f>
        <v>1.8698456126636704E-3</v>
      </c>
      <c r="G32" s="390">
        <f t="shared" si="4"/>
        <v>16.379847566933751</v>
      </c>
      <c r="H32" s="387">
        <f>_xlfn.XLOOKUP($B32,'12c. Boiler 3 (B003)'!$B$24:$B$84,'12c. Boiler 3 (B003)'!$D$24:$D$84)</f>
        <v>8.1899237834668764E-3</v>
      </c>
      <c r="I32" s="390" t="s">
        <v>208</v>
      </c>
      <c r="J32" s="389"/>
    </row>
    <row r="33" spans="1:10" x14ac:dyDescent="0.2">
      <c r="A33" s="18" t="s">
        <v>226</v>
      </c>
      <c r="B33" s="380" t="s">
        <v>164</v>
      </c>
      <c r="C33" s="380" t="s">
        <v>240</v>
      </c>
      <c r="D33" s="390">
        <v>1.3799999999999999E-6</v>
      </c>
      <c r="E33" s="391" t="s">
        <v>203</v>
      </c>
      <c r="F33" s="387">
        <f>_xlfn.XLOOKUP($B33,'12c. Boiler 3 (B003)'!$B$24:$B$84,'12c. Boiler 3 (B003)'!$C$24:$C$84)</f>
        <v>5.3707549817569454E-8</v>
      </c>
      <c r="G33" s="390">
        <f t="shared" si="4"/>
        <v>4.7047813640190841E-4</v>
      </c>
      <c r="H33" s="387">
        <f>_xlfn.XLOOKUP($B33,'12c. Boiler 3 (B003)'!$B$24:$B$84,'12c. Boiler 3 (B003)'!$D$24:$D$84)</f>
        <v>2.3523906820095421E-7</v>
      </c>
      <c r="I33" s="390" t="s">
        <v>208</v>
      </c>
      <c r="J33" s="389"/>
    </row>
    <row r="34" spans="1:10" x14ac:dyDescent="0.2">
      <c r="A34" s="18" t="s">
        <v>226</v>
      </c>
      <c r="B34" s="380" t="s">
        <v>165</v>
      </c>
      <c r="C34" s="380" t="s">
        <v>240</v>
      </c>
      <c r="D34" s="390">
        <v>2.0699999999999997E-6</v>
      </c>
      <c r="E34" s="391" t="s">
        <v>203</v>
      </c>
      <c r="F34" s="387">
        <f>_xlfn.XLOOKUP($B34,'12c. Boiler 3 (B003)'!$B$24:$B$84,'12c. Boiler 3 (B003)'!$C$24:$C$84)</f>
        <v>8.0561324726354178E-8</v>
      </c>
      <c r="G34" s="390">
        <f t="shared" si="4"/>
        <v>7.0571720460286256E-4</v>
      </c>
      <c r="H34" s="387">
        <f>_xlfn.XLOOKUP($B34,'12c. Boiler 3 (B003)'!$B$24:$B$84,'12c. Boiler 3 (B003)'!$D$24:$D$84)</f>
        <v>3.5285860230143129E-7</v>
      </c>
      <c r="I34" s="390" t="s">
        <v>208</v>
      </c>
      <c r="J34" s="389"/>
    </row>
    <row r="35" spans="1:10" x14ac:dyDescent="0.2">
      <c r="A35" s="18" t="s">
        <v>226</v>
      </c>
      <c r="B35" s="380" t="s">
        <v>166</v>
      </c>
      <c r="C35" s="380" t="s">
        <v>240</v>
      </c>
      <c r="D35" s="390">
        <v>1.3799999999999999E-6</v>
      </c>
      <c r="E35" s="391" t="s">
        <v>203</v>
      </c>
      <c r="F35" s="387">
        <f>_xlfn.XLOOKUP($B35,'12c. Boiler 3 (B003)'!$B$24:$B$84,'12c. Boiler 3 (B003)'!$C$24:$C$84)</f>
        <v>5.3707549817569454E-8</v>
      </c>
      <c r="G35" s="390">
        <f t="shared" si="4"/>
        <v>4.7047813640190841E-4</v>
      </c>
      <c r="H35" s="387">
        <f>_xlfn.XLOOKUP($B35,'12c. Boiler 3 (B003)'!$B$24:$B$84,'12c. Boiler 3 (B003)'!$D$24:$D$84)</f>
        <v>2.3523906820095421E-7</v>
      </c>
      <c r="I35" s="390" t="s">
        <v>208</v>
      </c>
      <c r="J35" s="389"/>
    </row>
    <row r="36" spans="1:10" x14ac:dyDescent="0.2">
      <c r="A36" s="18" t="s">
        <v>226</v>
      </c>
      <c r="B36" s="380" t="s">
        <v>167</v>
      </c>
      <c r="C36" s="380" t="s">
        <v>240</v>
      </c>
      <c r="D36" s="390">
        <v>2.0699999999999997E-6</v>
      </c>
      <c r="E36" s="391" t="s">
        <v>203</v>
      </c>
      <c r="F36" s="387">
        <f>_xlfn.XLOOKUP($B36,'12c. Boiler 3 (B003)'!$B$24:$B$84,'12c. Boiler 3 (B003)'!$C$24:$C$84)</f>
        <v>8.0561324726354178E-8</v>
      </c>
      <c r="G36" s="390">
        <f t="shared" si="4"/>
        <v>7.0571720460286256E-4</v>
      </c>
      <c r="H36" s="387">
        <f>_xlfn.XLOOKUP($B36,'12c. Boiler 3 (B003)'!$B$24:$B$84,'12c. Boiler 3 (B003)'!$D$24:$D$84)</f>
        <v>3.5285860230143129E-7</v>
      </c>
      <c r="I36" s="390" t="s">
        <v>208</v>
      </c>
      <c r="J36" s="389"/>
    </row>
    <row r="37" spans="1:10" x14ac:dyDescent="0.2">
      <c r="A37" s="18" t="s">
        <v>226</v>
      </c>
      <c r="B37" s="380" t="s">
        <v>168</v>
      </c>
      <c r="C37" s="380" t="s">
        <v>240</v>
      </c>
      <c r="D37" s="390">
        <v>2.0699999999999997E-6</v>
      </c>
      <c r="E37" s="391" t="s">
        <v>203</v>
      </c>
      <c r="F37" s="387">
        <f>_xlfn.XLOOKUP($B37,'12c. Boiler 3 (B003)'!$B$24:$B$84,'12c. Boiler 3 (B003)'!$C$24:$C$84)</f>
        <v>8.0561324726354178E-8</v>
      </c>
      <c r="G37" s="390">
        <f t="shared" si="4"/>
        <v>7.0571720460286256E-4</v>
      </c>
      <c r="H37" s="387">
        <f>_xlfn.XLOOKUP($B37,'12c. Boiler 3 (B003)'!$B$24:$B$84,'12c. Boiler 3 (B003)'!$D$24:$D$84)</f>
        <v>3.5285860230143129E-7</v>
      </c>
      <c r="I37" s="390" t="s">
        <v>208</v>
      </c>
      <c r="J37" s="389"/>
    </row>
    <row r="38" spans="1:10" x14ac:dyDescent="0.2">
      <c r="A38" s="18" t="s">
        <v>226</v>
      </c>
      <c r="B38" s="380" t="s">
        <v>169</v>
      </c>
      <c r="C38" s="380" t="s">
        <v>240</v>
      </c>
      <c r="D38" s="390">
        <v>1.3799999999999999E-6</v>
      </c>
      <c r="E38" s="391" t="s">
        <v>203</v>
      </c>
      <c r="F38" s="387">
        <f>_xlfn.XLOOKUP($B38,'12c. Boiler 3 (B003)'!$B$24:$B$84,'12c. Boiler 3 (B003)'!$C$24:$C$84)</f>
        <v>5.3707549817569454E-8</v>
      </c>
      <c r="G38" s="390">
        <f t="shared" si="4"/>
        <v>4.7047813640190841E-4</v>
      </c>
      <c r="H38" s="387">
        <f>_xlfn.XLOOKUP($B38,'12c. Boiler 3 (B003)'!$B$24:$B$84,'12c. Boiler 3 (B003)'!$D$24:$D$84)</f>
        <v>2.3523906820095421E-7</v>
      </c>
      <c r="I38" s="390" t="s">
        <v>208</v>
      </c>
      <c r="J38" s="389"/>
    </row>
    <row r="39" spans="1:10" x14ac:dyDescent="0.2">
      <c r="A39" s="18" t="s">
        <v>226</v>
      </c>
      <c r="B39" s="380" t="s">
        <v>170</v>
      </c>
      <c r="C39" s="380" t="s">
        <v>240</v>
      </c>
      <c r="D39" s="390">
        <v>1.3799999999999997E-3</v>
      </c>
      <c r="E39" s="391" t="s">
        <v>203</v>
      </c>
      <c r="F39" s="387">
        <f>_xlfn.XLOOKUP($B39,'12c. Boiler 3 (B003)'!$B$24:$B$84,'12c. Boiler 3 (B003)'!$C$24:$C$84)</f>
        <v>5.3707549817569443E-5</v>
      </c>
      <c r="G39" s="390">
        <f t="shared" si="4"/>
        <v>0.47047813640190833</v>
      </c>
      <c r="H39" s="387">
        <f>_xlfn.XLOOKUP($B39,'12c. Boiler 3 (B003)'!$B$24:$B$84,'12c. Boiler 3 (B003)'!$D$24:$D$84)</f>
        <v>2.3523906820095418E-4</v>
      </c>
      <c r="I39" s="390" t="s">
        <v>208</v>
      </c>
      <c r="J39" s="389"/>
    </row>
    <row r="40" spans="1:10" x14ac:dyDescent="0.2">
      <c r="A40" s="18" t="s">
        <v>226</v>
      </c>
      <c r="B40" s="380" t="s">
        <v>171</v>
      </c>
      <c r="C40" s="380" t="s">
        <v>240</v>
      </c>
      <c r="D40" s="390">
        <v>3.45E-6</v>
      </c>
      <c r="E40" s="391" t="s">
        <v>203</v>
      </c>
      <c r="F40" s="387">
        <f>_xlfn.XLOOKUP($B40,'12c. Boiler 3 (B003)'!$B$24:$B$84,'12c. Boiler 3 (B003)'!$C$24:$C$84)</f>
        <v>1.3426887454392363E-7</v>
      </c>
      <c r="G40" s="390">
        <f t="shared" si="4"/>
        <v>1.176195341004771E-3</v>
      </c>
      <c r="H40" s="387">
        <f>_xlfn.XLOOKUP($B40,'12c. Boiler 3 (B003)'!$B$24:$B$84,'12c. Boiler 3 (B003)'!$D$24:$D$84)</f>
        <v>5.8809767050238546E-7</v>
      </c>
      <c r="I40" s="390" t="s">
        <v>208</v>
      </c>
      <c r="J40" s="389"/>
    </row>
    <row r="41" spans="1:10" x14ac:dyDescent="0.2">
      <c r="A41" s="18" t="s">
        <v>226</v>
      </c>
      <c r="B41" s="380" t="s">
        <v>172</v>
      </c>
      <c r="C41" s="380" t="s">
        <v>240</v>
      </c>
      <c r="D41" s="390">
        <v>3.2199999999999997E-6</v>
      </c>
      <c r="E41" s="391" t="s">
        <v>203</v>
      </c>
      <c r="F41" s="387">
        <f>_xlfn.XLOOKUP($B41,'12c. Boiler 3 (B003)'!$B$24:$B$84,'12c. Boiler 3 (B003)'!$C$24:$C$84)</f>
        <v>1.2531761624099537E-7</v>
      </c>
      <c r="G41" s="390">
        <f t="shared" si="4"/>
        <v>1.0977823182711196E-3</v>
      </c>
      <c r="H41" s="387">
        <f>_xlfn.XLOOKUP($B41,'12c. Boiler 3 (B003)'!$B$24:$B$84,'12c. Boiler 3 (B003)'!$D$24:$D$84)</f>
        <v>5.4889115913555974E-7</v>
      </c>
      <c r="I41" s="390" t="s">
        <v>208</v>
      </c>
      <c r="J41" s="389"/>
    </row>
    <row r="42" spans="1:10" x14ac:dyDescent="0.2">
      <c r="A42" s="18" t="s">
        <v>226</v>
      </c>
      <c r="B42" s="380" t="s">
        <v>173</v>
      </c>
      <c r="C42" s="380" t="s">
        <v>238</v>
      </c>
      <c r="D42" s="390">
        <v>8.6249999999999993E-2</v>
      </c>
      <c r="E42" s="391" t="s">
        <v>203</v>
      </c>
      <c r="F42" s="387">
        <f>_xlfn.XLOOKUP($B42,'12c. Boiler 3 (B003)'!$B$24:$B$84,'12c. Boiler 3 (B003)'!$C$24:$C$84)</f>
        <v>3.3567218635980906E-3</v>
      </c>
      <c r="G42" s="390">
        <f t="shared" si="4"/>
        <v>29.404883525119274</v>
      </c>
      <c r="H42" s="387">
        <f>_xlfn.XLOOKUP($B42,'12c. Boiler 3 (B003)'!$B$24:$B$84,'12c. Boiler 3 (B003)'!$D$24:$D$84)</f>
        <v>1.4702441762559637E-2</v>
      </c>
      <c r="I42" s="390" t="s">
        <v>208</v>
      </c>
      <c r="J42" s="389"/>
    </row>
    <row r="43" spans="1:10" x14ac:dyDescent="0.2">
      <c r="A43" s="18" t="s">
        <v>226</v>
      </c>
      <c r="B43" s="380" t="s">
        <v>174</v>
      </c>
      <c r="C43" s="380" t="s">
        <v>238</v>
      </c>
      <c r="D43" s="390">
        <v>2.0699999999999998</v>
      </c>
      <c r="E43" s="391" t="s">
        <v>203</v>
      </c>
      <c r="F43" s="387">
        <f>_xlfn.XLOOKUP($B43,'12c. Boiler 3 (B003)'!$B$24:$B$84,'12c. Boiler 3 (B003)'!$C$24:$C$84)</f>
        <v>8.0561324726354175E-2</v>
      </c>
      <c r="G43" s="390">
        <f t="shared" si="4"/>
        <v>705.71720460286258</v>
      </c>
      <c r="H43" s="387">
        <f>_xlfn.XLOOKUP($B43,'12c. Boiler 3 (B003)'!$B$24:$B$84,'12c. Boiler 3 (B003)'!$D$24:$D$84)</f>
        <v>0.35285860230143129</v>
      </c>
      <c r="I43" s="390" t="s">
        <v>208</v>
      </c>
      <c r="J43" s="389"/>
    </row>
    <row r="44" spans="1:10" x14ac:dyDescent="0.2">
      <c r="A44" s="18" t="s">
        <v>226</v>
      </c>
      <c r="B44" s="380" t="s">
        <v>175</v>
      </c>
      <c r="C44" s="380" t="s">
        <v>240</v>
      </c>
      <c r="D44" s="390">
        <v>1.3339999999999999E-8</v>
      </c>
      <c r="E44" s="391" t="s">
        <v>203</v>
      </c>
      <c r="F44" s="387">
        <f>_xlfn.XLOOKUP($B44,'12c. Boiler 3 (B003)'!$B$24:$B$84,'12c. Boiler 3 (B003)'!$C$24:$C$84)</f>
        <v>5.1917298156983807E-10</v>
      </c>
      <c r="G44" s="390">
        <f t="shared" si="4"/>
        <v>4.5479553185517812E-6</v>
      </c>
      <c r="H44" s="387">
        <f>_xlfn.XLOOKUP($B44,'12c. Boiler 3 (B003)'!$B$24:$B$84,'12c. Boiler 3 (B003)'!$D$24:$D$84)</f>
        <v>2.2739776592758906E-9</v>
      </c>
      <c r="I44" s="390" t="s">
        <v>208</v>
      </c>
      <c r="J44" s="389"/>
    </row>
    <row r="45" spans="1:10" x14ac:dyDescent="0.2">
      <c r="A45" s="18" t="s">
        <v>226</v>
      </c>
      <c r="B45" s="380" t="s">
        <v>176</v>
      </c>
      <c r="C45" s="380" t="s">
        <v>240</v>
      </c>
      <c r="D45" s="390">
        <v>4.507999999999999E-6</v>
      </c>
      <c r="E45" s="391" t="s">
        <v>203</v>
      </c>
      <c r="F45" s="387">
        <f>_xlfn.XLOOKUP($B45,'12c. Boiler 3 (B003)'!$B$24:$B$84,'12c. Boiler 3 (B003)'!$C$24:$C$84)</f>
        <v>1.7544466273739352E-7</v>
      </c>
      <c r="G45" s="390">
        <f t="shared" si="4"/>
        <v>1.5368952455795672E-3</v>
      </c>
      <c r="H45" s="387">
        <f>_xlfn.XLOOKUP($B45,'12c. Boiler 3 (B003)'!$B$24:$B$84,'12c. Boiler 3 (B003)'!$D$24:$D$84)</f>
        <v>7.6844762278978366E-7</v>
      </c>
      <c r="I45" s="390" t="s">
        <v>208</v>
      </c>
      <c r="J45" s="389"/>
    </row>
    <row r="46" spans="1:10" x14ac:dyDescent="0.2">
      <c r="A46" s="18" t="s">
        <v>226</v>
      </c>
      <c r="B46" s="380" t="s">
        <v>177</v>
      </c>
      <c r="C46" s="380" t="s">
        <v>240</v>
      </c>
      <c r="D46" s="390">
        <v>1.2534999999999999E-7</v>
      </c>
      <c r="E46" s="391" t="s">
        <v>203</v>
      </c>
      <c r="F46" s="387">
        <f>_xlfn.XLOOKUP($B46,'12c. Boiler 3 (B003)'!$B$24:$B$84,'12c. Boiler 3 (B003)'!$C$24:$C$84)</f>
        <v>4.878435775095892E-9</v>
      </c>
      <c r="G46" s="390">
        <f t="shared" si="4"/>
        <v>4.2735097389840011E-5</v>
      </c>
      <c r="H46" s="387">
        <f>_xlfn.XLOOKUP($B46,'12c. Boiler 3 (B003)'!$B$24:$B$84,'12c. Boiler 3 (B003)'!$D$24:$D$84)</f>
        <v>2.1367548694920006E-8</v>
      </c>
      <c r="I46" s="390" t="s">
        <v>208</v>
      </c>
      <c r="J46" s="389"/>
    </row>
    <row r="47" spans="1:10" x14ac:dyDescent="0.2">
      <c r="A47" s="18" t="s">
        <v>226</v>
      </c>
      <c r="B47" s="380" t="s">
        <v>178</v>
      </c>
      <c r="C47" s="380" t="s">
        <v>240</v>
      </c>
      <c r="D47" s="390">
        <v>3.6915000000000003E-8</v>
      </c>
      <c r="E47" s="391" t="s">
        <v>203</v>
      </c>
      <c r="F47" s="387">
        <f>_xlfn.XLOOKUP($B47,'12c. Boiler 3 (B003)'!$B$24:$B$84,'12c. Boiler 3 (B003)'!$C$24:$C$84)</f>
        <v>1.4366769576199829E-9</v>
      </c>
      <c r="G47" s="390">
        <f t="shared" si="4"/>
        <v>1.2585290148751051E-5</v>
      </c>
      <c r="H47" s="387">
        <f>_xlfn.XLOOKUP($B47,'12c. Boiler 3 (B003)'!$B$24:$B$84,'12c. Boiler 3 (B003)'!$D$24:$D$84)</f>
        <v>6.2926450743755252E-9</v>
      </c>
      <c r="I47" s="390" t="s">
        <v>208</v>
      </c>
      <c r="J47" s="389"/>
    </row>
    <row r="48" spans="1:10" x14ac:dyDescent="0.2">
      <c r="A48" s="18" t="s">
        <v>226</v>
      </c>
      <c r="B48" s="380" t="s">
        <v>179</v>
      </c>
      <c r="C48" s="380" t="s">
        <v>238</v>
      </c>
      <c r="D48" s="390">
        <v>2.5069999999999999E-5</v>
      </c>
      <c r="E48" s="391" t="s">
        <v>203</v>
      </c>
      <c r="F48" s="387">
        <f>_xlfn.XLOOKUP($B48,'12c. Boiler 3 (B003)'!$B$24:$B$84,'12c. Boiler 3 (B003)'!$C$24:$C$84)</f>
        <v>9.7568715501917844E-7</v>
      </c>
      <c r="G48" s="390">
        <f t="shared" si="4"/>
        <v>8.5470194779680032E-3</v>
      </c>
      <c r="H48" s="387">
        <f>_xlfn.XLOOKUP($B48,'12c. Boiler 3 (B003)'!$B$24:$B$84,'12c. Boiler 3 (B003)'!$D$24:$D$84)</f>
        <v>4.2735097389840018E-6</v>
      </c>
      <c r="I48" s="390" t="s">
        <v>208</v>
      </c>
      <c r="J48" s="389"/>
    </row>
    <row r="49" spans="1:12" x14ac:dyDescent="0.2">
      <c r="A49" s="18" t="s">
        <v>226</v>
      </c>
      <c r="B49" s="380" t="s">
        <v>153</v>
      </c>
      <c r="C49" s="380" t="s">
        <v>238</v>
      </c>
      <c r="D49" s="390">
        <v>4.5599999999999996</v>
      </c>
      <c r="E49" s="391" t="s">
        <v>203</v>
      </c>
      <c r="F49" s="387">
        <f>_xlfn.XLOOKUP($B49,'12c. Boiler 3 (B003)'!$B$24:$B$84,'12c. Boiler 3 (B003)'!$C$24:$C$84)</f>
        <v>0.37071721711940592</v>
      </c>
      <c r="G49" s="390">
        <f t="shared" si="4"/>
        <v>3247.4828219659958</v>
      </c>
      <c r="H49" s="387">
        <f>_xlfn.XLOOKUP($B49,'12c. Boiler 3 (B003)'!$B$24:$B$84,'12c. Boiler 3 (B003)'!$D$24:$D$84)</f>
        <v>1.623741410982998</v>
      </c>
      <c r="I49" s="390" t="s">
        <v>253</v>
      </c>
      <c r="J49" s="389"/>
    </row>
    <row r="50" spans="1:12" x14ac:dyDescent="0.2">
      <c r="A50" s="18" t="s">
        <v>226</v>
      </c>
      <c r="B50" s="380" t="s">
        <v>254</v>
      </c>
      <c r="C50" s="380" t="s">
        <v>238</v>
      </c>
      <c r="D50" s="390">
        <v>3.3000000000000002E-2</v>
      </c>
      <c r="E50" s="391" t="s">
        <v>203</v>
      </c>
      <c r="F50" s="387">
        <f>_xlfn.XLOOKUP($B50,'12c. Boiler 3 (B003)'!$B$24:$B$84,'12c. Boiler 3 (B003)'!$C$24:$C$84)</f>
        <v>2.6828219659957007E-3</v>
      </c>
      <c r="G50" s="390">
        <f t="shared" si="4"/>
        <v>23.50152042212234</v>
      </c>
      <c r="H50" s="387">
        <f>_xlfn.XLOOKUP($B50,'12c. Boiler 3 (B003)'!$B$24:$B$84,'12c. Boiler 3 (B003)'!$D$24:$D$84)</f>
        <v>1.1750760211061169E-2</v>
      </c>
      <c r="I50" s="390" t="s">
        <v>253</v>
      </c>
      <c r="J50" s="389"/>
    </row>
    <row r="51" spans="1:12" x14ac:dyDescent="0.2">
      <c r="A51" s="18" t="s">
        <v>226</v>
      </c>
      <c r="B51" s="380" t="s">
        <v>182</v>
      </c>
      <c r="C51" s="380" t="s">
        <v>238</v>
      </c>
      <c r="D51" s="390">
        <v>6.5000000000000002E-2</v>
      </c>
      <c r="E51" s="391" t="s">
        <v>203</v>
      </c>
      <c r="F51" s="387">
        <f>_xlfn.XLOOKUP($B51,'12c. Boiler 3 (B003)'!$B$24:$B$84,'12c. Boiler 3 (B003)'!$C$24:$C$84)</f>
        <v>5.2843462966581985E-3</v>
      </c>
      <c r="G51" s="390">
        <f t="shared" si="4"/>
        <v>46.290873558725821</v>
      </c>
      <c r="H51" s="387">
        <f>_xlfn.XLOOKUP($B51,'12c. Boiler 3 (B003)'!$B$24:$B$84,'12c. Boiler 3 (B003)'!$D$24:$D$84)</f>
        <v>2.3145436779362909E-2</v>
      </c>
      <c r="I51" s="390" t="s">
        <v>253</v>
      </c>
      <c r="J51" s="389"/>
    </row>
    <row r="52" spans="1:12" x14ac:dyDescent="0.2">
      <c r="A52" s="18" t="s">
        <v>226</v>
      </c>
      <c r="B52" s="380" t="s">
        <v>183</v>
      </c>
      <c r="C52" s="380" t="s">
        <v>238</v>
      </c>
      <c r="D52" s="390">
        <v>0.155</v>
      </c>
      <c r="E52" s="391" t="s">
        <v>203</v>
      </c>
      <c r="F52" s="387">
        <f>_xlfn.XLOOKUP($B52,'12c. Boiler 3 (B003)'!$B$24:$B$84,'12c. Boiler 3 (B003)'!$C$24:$C$84)</f>
        <v>0.14322013284685187</v>
      </c>
      <c r="G52" s="390">
        <f t="shared" si="4"/>
        <v>1254.6083637384224</v>
      </c>
      <c r="H52" s="387">
        <f>_xlfn.XLOOKUP($B52,'12c. Boiler 3 (B003)'!$B$24:$B$84,'12c. Boiler 3 (B003)'!$D$24:$D$84)</f>
        <v>0.62730418186921122</v>
      </c>
      <c r="I52" s="390" t="s">
        <v>209</v>
      </c>
      <c r="J52" s="389"/>
    </row>
    <row r="53" spans="1:12" x14ac:dyDescent="0.2">
      <c r="A53" s="18" t="s">
        <v>226</v>
      </c>
      <c r="B53" s="380" t="s">
        <v>66</v>
      </c>
      <c r="C53" s="380" t="s">
        <v>237</v>
      </c>
      <c r="D53" s="390">
        <v>5.7499999999999999E-4</v>
      </c>
      <c r="E53" s="391" t="s">
        <v>203</v>
      </c>
      <c r="F53" s="387">
        <f>_xlfn.XLOOKUP($B53,'12c. Boiler 3 (B003)'!$B$24:$B$84,'12c. Boiler 3 (B003)'!$C$24:$C$84)</f>
        <v>2.2378145757320606E-5</v>
      </c>
      <c r="G53" s="390">
        <f t="shared" si="4"/>
        <v>0.19603255683412851</v>
      </c>
      <c r="H53" s="387">
        <f>_xlfn.XLOOKUP($B53,'12c. Boiler 3 (B003)'!$B$24:$B$84,'12c. Boiler 3 (B003)'!$D$24:$D$84)</f>
        <v>9.8016278417064256E-5</v>
      </c>
      <c r="I53" s="390" t="s">
        <v>204</v>
      </c>
      <c r="J53" s="389"/>
    </row>
    <row r="54" spans="1:12" x14ac:dyDescent="0.2">
      <c r="A54" s="18" t="s">
        <v>226</v>
      </c>
      <c r="B54" s="380" t="s">
        <v>185</v>
      </c>
      <c r="C54" s="380" t="s">
        <v>237</v>
      </c>
      <c r="D54" s="390">
        <v>1.4719999999999998E-6</v>
      </c>
      <c r="E54" s="391" t="s">
        <v>203</v>
      </c>
      <c r="F54" s="387">
        <f>_xlfn.XLOOKUP($B54,'12c. Boiler 3 (B003)'!$B$24:$B$84,'12c. Boiler 3 (B003)'!$C$24:$C$84)</f>
        <v>5.7288053138740745E-8</v>
      </c>
      <c r="G54" s="390">
        <f t="shared" si="4"/>
        <v>5.0184334549536894E-4</v>
      </c>
      <c r="H54" s="387">
        <f>_xlfn.XLOOKUP($B54,'12c. Boiler 3 (B003)'!$B$24:$B$84,'12c. Boiler 3 (B003)'!$D$24:$D$84)</f>
        <v>2.5092167274768446E-7</v>
      </c>
      <c r="I54" s="390" t="s">
        <v>210</v>
      </c>
    </row>
    <row r="55" spans="1:12" x14ac:dyDescent="0.2">
      <c r="A55" s="18" t="s">
        <v>226</v>
      </c>
      <c r="B55" s="380" t="s">
        <v>186</v>
      </c>
      <c r="C55" s="380" t="s">
        <v>237</v>
      </c>
      <c r="D55" s="390">
        <v>8.8549999999999996E-8</v>
      </c>
      <c r="E55" s="391" t="s">
        <v>203</v>
      </c>
      <c r="F55" s="387">
        <f>_xlfn.XLOOKUP($B55,'12c. Boiler 3 (B003)'!$B$24:$B$84,'12c. Boiler 3 (B003)'!$C$24:$C$84)</f>
        <v>3.4462344466273735E-9</v>
      </c>
      <c r="G55" s="390">
        <f t="shared" si="4"/>
        <v>3.018901375245579E-5</v>
      </c>
      <c r="H55" s="387">
        <f>_xlfn.XLOOKUP($B55,'12c. Boiler 3 (B003)'!$B$24:$B$84,'12c. Boiler 3 (B003)'!$D$24:$D$84)</f>
        <v>1.5094506876227895E-8</v>
      </c>
      <c r="I55" s="390" t="s">
        <v>210</v>
      </c>
    </row>
    <row r="56" spans="1:12" x14ac:dyDescent="0.2">
      <c r="A56" s="18" t="s">
        <v>226</v>
      </c>
      <c r="B56" s="380" t="s">
        <v>187</v>
      </c>
      <c r="C56" s="380" t="s">
        <v>237</v>
      </c>
      <c r="D56" s="390">
        <v>8.1189999999999997E-6</v>
      </c>
      <c r="E56" s="391" t="s">
        <v>203</v>
      </c>
      <c r="F56" s="387">
        <f>_xlfn.XLOOKUP($B56,'12c. Boiler 3 (B003)'!$B$24:$B$84,'12c. Boiler 3 (B003)'!$C$24:$C$84)</f>
        <v>3.1597941809336691E-7</v>
      </c>
      <c r="G56" s="390">
        <f t="shared" si="4"/>
        <v>2.7679797024978943E-3</v>
      </c>
      <c r="H56" s="387">
        <f>_xlfn.XLOOKUP($B56,'12c. Boiler 3 (B003)'!$B$24:$B$84,'12c. Boiler 3 (B003)'!$D$24:$D$84)</f>
        <v>1.3839898512489471E-6</v>
      </c>
      <c r="I56" s="390" t="s">
        <v>210</v>
      </c>
    </row>
    <row r="57" spans="1:12" x14ac:dyDescent="0.2">
      <c r="A57" s="18" t="s">
        <v>226</v>
      </c>
      <c r="B57" s="380" t="s">
        <v>188</v>
      </c>
      <c r="C57" s="380" t="s">
        <v>237</v>
      </c>
      <c r="D57" s="390">
        <v>1.0338499999999999E-5</v>
      </c>
      <c r="E57" s="391" t="s">
        <v>203</v>
      </c>
      <c r="F57" s="387">
        <f>_xlfn.XLOOKUP($B57,'12c. Boiler 3 (B003)'!$B$24:$B$84,'12c. Boiler 3 (B003)'!$C$24:$C$84)</f>
        <v>4.0235906071662449E-7</v>
      </c>
      <c r="G57" s="387">
        <f t="shared" si="4"/>
        <v>3.5246653718776304E-3</v>
      </c>
      <c r="H57" s="387">
        <f>_xlfn.XLOOKUP($B57,'12c. Boiler 3 (B003)'!$B$24:$B$84,'12c. Boiler 3 (B003)'!$D$24:$D$84)</f>
        <v>1.7623326859388152E-6</v>
      </c>
      <c r="I57" s="390" t="s">
        <v>210</v>
      </c>
    </row>
    <row r="58" spans="1:12" x14ac:dyDescent="0.2">
      <c r="A58" s="18" t="s">
        <v>226</v>
      </c>
      <c r="B58" s="380" t="s">
        <v>189</v>
      </c>
      <c r="C58" s="380" t="s">
        <v>237</v>
      </c>
      <c r="D58" s="390">
        <v>6.1984999999999998E-7</v>
      </c>
      <c r="E58" s="391" t="s">
        <v>203</v>
      </c>
      <c r="F58" s="387">
        <f>_xlfn.XLOOKUP($B58,'12c. Boiler 3 (B003)'!$B$24:$B$84,'12c. Boiler 3 (B003)'!$C$24:$C$84)</f>
        <v>2.4123641126391612E-8</v>
      </c>
      <c r="G58" s="390">
        <f t="shared" si="4"/>
        <v>2.1132309626719053E-4</v>
      </c>
      <c r="H58" s="387">
        <f>_xlfn.XLOOKUP($B58,'12c. Boiler 3 (B003)'!$B$24:$B$84,'12c. Boiler 3 (B003)'!$D$24:$D$84)</f>
        <v>1.0566154813359527E-7</v>
      </c>
      <c r="I58" s="390" t="s">
        <v>210</v>
      </c>
    </row>
    <row r="59" spans="1:12" x14ac:dyDescent="0.2">
      <c r="A59" s="18" t="s">
        <v>226</v>
      </c>
      <c r="B59" s="380" t="s">
        <v>190</v>
      </c>
      <c r="C59" s="380" t="s">
        <v>237</v>
      </c>
      <c r="D59" s="390">
        <v>2.8059999999999999E-6</v>
      </c>
      <c r="E59" s="391" t="s">
        <v>203</v>
      </c>
      <c r="F59" s="387">
        <f>_xlfn.XLOOKUP($B59,'12c. Boiler 3 (B003)'!$B$24:$B$84,'12c. Boiler 3 (B003)'!$C$24:$C$84)</f>
        <v>1.0920535129572455E-7</v>
      </c>
      <c r="G59" s="390">
        <f t="shared" si="4"/>
        <v>9.5663887735054714E-4</v>
      </c>
      <c r="H59" s="387">
        <f>_xlfn.XLOOKUP($B59,'12c. Boiler 3 (B003)'!$B$24:$B$84,'12c. Boiler 3 (B003)'!$D$24:$D$84)</f>
        <v>4.7831943867527355E-7</v>
      </c>
      <c r="I59" s="390" t="s">
        <v>210</v>
      </c>
    </row>
    <row r="60" spans="1:12" x14ac:dyDescent="0.2">
      <c r="A60" s="18" t="s">
        <v>226</v>
      </c>
      <c r="B60" s="380" t="s">
        <v>191</v>
      </c>
      <c r="C60" s="380" t="s">
        <v>239</v>
      </c>
      <c r="D60" s="390">
        <v>2.9899999999999995E-4</v>
      </c>
      <c r="E60" s="391" t="s">
        <v>203</v>
      </c>
      <c r="F60" s="387">
        <f>_xlfn.XLOOKUP($B60,'12c. Boiler 3 (B003)'!$B$24:$B$84,'12c. Boiler 3 (B003)'!$C$24:$C$84)</f>
        <v>1.1636635793806714E-5</v>
      </c>
      <c r="G60" s="390">
        <f t="shared" si="4"/>
        <v>0.10193692955374681</v>
      </c>
      <c r="H60" s="387">
        <f>_xlfn.XLOOKUP($B60,'12c. Boiler 3 (B003)'!$B$24:$B$84,'12c. Boiler 3 (B003)'!$D$24:$D$84)</f>
        <v>5.0968464776873405E-5</v>
      </c>
      <c r="I60" s="390" t="s">
        <v>210</v>
      </c>
    </row>
    <row r="61" spans="1:12" x14ac:dyDescent="0.2">
      <c r="A61" s="18" t="s">
        <v>226</v>
      </c>
      <c r="B61" s="380" t="s">
        <v>192</v>
      </c>
      <c r="C61" s="380" t="s">
        <v>237</v>
      </c>
      <c r="D61" s="390">
        <v>1.5524999999999998E-5</v>
      </c>
      <c r="E61" s="391" t="s">
        <v>203</v>
      </c>
      <c r="F61" s="387">
        <f>_xlfn.XLOOKUP($B61,'12c. Boiler 3 (B003)'!$B$24:$B$84,'12c. Boiler 3 (B003)'!$C$24:$C$84)</f>
        <v>6.0420993544765629E-7</v>
      </c>
      <c r="G61" s="390">
        <f t="shared" si="4"/>
        <v>5.2928790345214694E-3</v>
      </c>
      <c r="H61" s="387">
        <f>_xlfn.XLOOKUP($B61,'12c. Boiler 3 (B003)'!$B$24:$B$84,'12c. Boiler 3 (B003)'!$D$24:$D$84)</f>
        <v>2.6464395172607348E-6</v>
      </c>
      <c r="I61" s="390" t="s">
        <v>210</v>
      </c>
    </row>
    <row r="62" spans="1:12" x14ac:dyDescent="0.2">
      <c r="A62" s="18" t="s">
        <v>226</v>
      </c>
      <c r="B62" s="380" t="s">
        <v>193</v>
      </c>
      <c r="C62" s="380" t="s">
        <v>237</v>
      </c>
      <c r="D62" s="390">
        <v>1.7709999999999999E-7</v>
      </c>
      <c r="E62" s="391" t="s">
        <v>203</v>
      </c>
      <c r="F62" s="387">
        <f>_xlfn.XLOOKUP($B62,'12c. Boiler 3 (B003)'!$B$24:$B$84,'12c. Boiler 3 (B003)'!$C$24:$C$84)</f>
        <v>6.892468893254747E-9</v>
      </c>
      <c r="G62" s="390">
        <f t="shared" si="4"/>
        <v>6.037802750491158E-5</v>
      </c>
      <c r="H62" s="387">
        <f>_xlfn.XLOOKUP($B62,'12c. Boiler 3 (B003)'!$B$24:$B$84,'12c. Boiler 3 (B003)'!$D$24:$D$84)</f>
        <v>3.018901375245579E-8</v>
      </c>
      <c r="I62" s="390" t="s">
        <v>210</v>
      </c>
    </row>
    <row r="63" spans="1:12" x14ac:dyDescent="0.2">
      <c r="B63" s="383" t="s">
        <v>255</v>
      </c>
      <c r="C63" s="384"/>
      <c r="D63" s="384"/>
      <c r="E63" s="384"/>
      <c r="F63" s="384"/>
      <c r="G63" s="384"/>
      <c r="H63" s="384"/>
      <c r="I63" s="385"/>
    </row>
    <row r="64" spans="1:12" x14ac:dyDescent="0.2">
      <c r="A64" s="18" t="s">
        <v>227</v>
      </c>
      <c r="B64" s="386" t="s">
        <v>156</v>
      </c>
      <c r="C64" s="386" t="s">
        <v>238</v>
      </c>
      <c r="D64" s="387">
        <v>2.76E-5</v>
      </c>
      <c r="E64" s="388" t="s">
        <v>203</v>
      </c>
      <c r="F64" s="387">
        <f>_xlfn.XLOOKUP($B64,'12d. Boiler 4 (B004)'!$B$24:$B$84,'12d. Boiler 4 (B004)'!$C$24:$C$84)</f>
        <v>1.074150996351389E-6</v>
      </c>
      <c r="G64" s="387">
        <f>H64*2000</f>
        <v>9.4095627280381677E-3</v>
      </c>
      <c r="H64" s="387">
        <f>_xlfn.XLOOKUP($B64,'12d. Boiler 4 (B004)'!$B$24:$B$84,'12d. Boiler 4 (B004)'!$D$24:$D$84)</f>
        <v>4.7047813640190836E-6</v>
      </c>
      <c r="I64" s="387" t="s">
        <v>208</v>
      </c>
      <c r="K64" s="306"/>
      <c r="L64" s="306"/>
    </row>
    <row r="65" spans="1:13" x14ac:dyDescent="0.2">
      <c r="A65" s="18" t="s">
        <v>227</v>
      </c>
      <c r="B65" s="380" t="s">
        <v>157</v>
      </c>
      <c r="C65" s="380" t="s">
        <v>238</v>
      </c>
      <c r="D65" s="390">
        <v>2.0699999999999997E-6</v>
      </c>
      <c r="E65" s="391" t="s">
        <v>203</v>
      </c>
      <c r="F65" s="387">
        <f>_xlfn.XLOOKUP($B65,'12d. Boiler 4 (B004)'!$B$24:$B$84,'12d. Boiler 4 (B004)'!$C$24:$C$84)</f>
        <v>8.0561324726354178E-8</v>
      </c>
      <c r="G65" s="390">
        <f t="shared" ref="G65" si="5">H65*2000</f>
        <v>7.0571720460286256E-4</v>
      </c>
      <c r="H65" s="387">
        <f>_xlfn.XLOOKUP($B65,'12d. Boiler 4 (B004)'!$B$24:$B$84,'12d. Boiler 4 (B004)'!$D$24:$D$84)</f>
        <v>3.5285860230143129E-7</v>
      </c>
      <c r="I65" s="390" t="s">
        <v>208</v>
      </c>
      <c r="K65" s="306"/>
      <c r="L65" s="306"/>
    </row>
    <row r="66" spans="1:13" x14ac:dyDescent="0.2">
      <c r="A66" s="18" t="s">
        <v>227</v>
      </c>
      <c r="B66" s="380" t="s">
        <v>158</v>
      </c>
      <c r="C66" s="380" t="s">
        <v>238</v>
      </c>
      <c r="D66" s="390">
        <v>1.8399999999999997E-5</v>
      </c>
      <c r="E66" s="391" t="s">
        <v>203</v>
      </c>
      <c r="F66" s="387">
        <f>_xlfn.XLOOKUP($B66,'12d. Boiler 4 (B004)'!$B$24:$B$84,'12d. Boiler 4 (B004)'!$C$24:$C$84)</f>
        <v>7.1610066423425934E-7</v>
      </c>
      <c r="G66" s="390">
        <f>H66*2000</f>
        <v>6.2730418186921115E-3</v>
      </c>
      <c r="H66" s="387">
        <f>_xlfn.XLOOKUP($B66,'12d. Boiler 4 (B004)'!$B$24:$B$84,'12d. Boiler 4 (B004)'!$D$24:$D$84)</f>
        <v>3.1365209093460556E-6</v>
      </c>
      <c r="I66" s="390" t="s">
        <v>208</v>
      </c>
      <c r="K66" s="306"/>
      <c r="L66" s="306"/>
    </row>
    <row r="67" spans="1:13" x14ac:dyDescent="0.2">
      <c r="A67" s="18" t="s">
        <v>227</v>
      </c>
      <c r="B67" s="380" t="s">
        <v>159</v>
      </c>
      <c r="C67" s="380" t="s">
        <v>238</v>
      </c>
      <c r="D67" s="390">
        <v>2.0699999999999997E-6</v>
      </c>
      <c r="E67" s="391" t="s">
        <v>203</v>
      </c>
      <c r="F67" s="387">
        <f>_xlfn.XLOOKUP($B67,'12d. Boiler 4 (B004)'!$B$24:$B$84,'12d. Boiler 4 (B004)'!$C$24:$C$84)</f>
        <v>8.0561324726354178E-8</v>
      </c>
      <c r="G67" s="390">
        <f t="shared" ref="G67:G101" si="6">H67*2000</f>
        <v>7.0571720460286256E-4</v>
      </c>
      <c r="H67" s="387">
        <f>_xlfn.XLOOKUP($B67,'12d. Boiler 4 (B004)'!$B$24:$B$84,'12d. Boiler 4 (B004)'!$D$24:$D$84)</f>
        <v>3.5285860230143129E-7</v>
      </c>
      <c r="I67" s="390" t="s">
        <v>208</v>
      </c>
      <c r="K67" s="306"/>
      <c r="L67" s="306"/>
    </row>
    <row r="68" spans="1:13" x14ac:dyDescent="0.2">
      <c r="A68" s="18" t="s">
        <v>227</v>
      </c>
      <c r="B68" s="380" t="s">
        <v>160</v>
      </c>
      <c r="C68" s="380" t="s">
        <v>238</v>
      </c>
      <c r="D68" s="390">
        <v>2.0699999999999997E-6</v>
      </c>
      <c r="E68" s="391" t="s">
        <v>203</v>
      </c>
      <c r="F68" s="387">
        <f>_xlfn.XLOOKUP($B68,'12d. Boiler 4 (B004)'!$B$24:$B$84,'12d. Boiler 4 (B004)'!$C$24:$C$84)</f>
        <v>8.0561324726354178E-8</v>
      </c>
      <c r="G68" s="390">
        <f t="shared" si="6"/>
        <v>7.0571720460286256E-4</v>
      </c>
      <c r="H68" s="387">
        <f>_xlfn.XLOOKUP($B68,'12d. Boiler 4 (B004)'!$B$24:$B$84,'12d. Boiler 4 (B004)'!$D$24:$D$84)</f>
        <v>3.5285860230143129E-7</v>
      </c>
      <c r="I68" s="390" t="s">
        <v>208</v>
      </c>
      <c r="K68" s="306"/>
      <c r="L68" s="306"/>
      <c r="M68" s="18" t="s">
        <v>256</v>
      </c>
    </row>
    <row r="69" spans="1:13" x14ac:dyDescent="0.2">
      <c r="A69" s="18" t="s">
        <v>227</v>
      </c>
      <c r="B69" s="380" t="s">
        <v>161</v>
      </c>
      <c r="C69" s="380" t="s">
        <v>238</v>
      </c>
      <c r="D69" s="390">
        <v>2.7599999999999998E-6</v>
      </c>
      <c r="E69" s="391" t="s">
        <v>203</v>
      </c>
      <c r="F69" s="387">
        <f>_xlfn.XLOOKUP($B69,'12d. Boiler 4 (B004)'!$B$24:$B$84,'12d. Boiler 4 (B004)'!$C$24:$C$84)</f>
        <v>1.0741509963513891E-7</v>
      </c>
      <c r="G69" s="390">
        <f t="shared" si="6"/>
        <v>9.4095627280381682E-4</v>
      </c>
      <c r="H69" s="387">
        <f>_xlfn.XLOOKUP($B69,'12d. Boiler 4 (B004)'!$B$24:$B$84,'12d. Boiler 4 (B004)'!$D$24:$D$84)</f>
        <v>4.7047813640190843E-7</v>
      </c>
      <c r="I69" s="390" t="s">
        <v>208</v>
      </c>
      <c r="K69" s="306"/>
      <c r="L69" s="306"/>
    </row>
    <row r="70" spans="1:13" x14ac:dyDescent="0.2">
      <c r="A70" s="18" t="s">
        <v>227</v>
      </c>
      <c r="B70" s="380" t="s">
        <v>162</v>
      </c>
      <c r="C70" s="380" t="s">
        <v>240</v>
      </c>
      <c r="D70" s="390">
        <v>2.0699999999999997E-6</v>
      </c>
      <c r="E70" s="391" t="s">
        <v>203</v>
      </c>
      <c r="F70" s="387">
        <f>_xlfn.XLOOKUP($B70,'12d. Boiler 4 (B004)'!$B$24:$B$84,'12d. Boiler 4 (B004)'!$C$24:$C$84)</f>
        <v>8.0561324726354178E-8</v>
      </c>
      <c r="G70" s="390">
        <f t="shared" si="6"/>
        <v>7.0571720460286256E-4</v>
      </c>
      <c r="H70" s="387">
        <f>_xlfn.XLOOKUP($B70,'12d. Boiler 4 (B004)'!$B$24:$B$84,'12d. Boiler 4 (B004)'!$D$24:$D$84)</f>
        <v>3.5285860230143129E-7</v>
      </c>
      <c r="I70" s="390" t="s">
        <v>208</v>
      </c>
      <c r="K70" s="306"/>
      <c r="L70" s="306"/>
    </row>
    <row r="71" spans="1:13" x14ac:dyDescent="0.2">
      <c r="A71" s="18" t="s">
        <v>227</v>
      </c>
      <c r="B71" s="380" t="s">
        <v>163</v>
      </c>
      <c r="C71" s="380" t="s">
        <v>238</v>
      </c>
      <c r="D71" s="390">
        <v>2.3E-2</v>
      </c>
      <c r="E71" s="391" t="s">
        <v>203</v>
      </c>
      <c r="F71" s="387">
        <f>_xlfn.XLOOKUP($B71,'12d. Boiler 4 (B004)'!$B$24:$B$84,'12d. Boiler 4 (B004)'!$C$24:$C$84)</f>
        <v>1.8698456126636704E-3</v>
      </c>
      <c r="G71" s="390">
        <f t="shared" si="6"/>
        <v>16.379847566933751</v>
      </c>
      <c r="H71" s="387">
        <f>_xlfn.XLOOKUP($B71,'12d. Boiler 4 (B004)'!$B$24:$B$84,'12d. Boiler 4 (B004)'!$D$24:$D$84)</f>
        <v>8.1899237834668764E-3</v>
      </c>
      <c r="I71" s="390" t="s">
        <v>208</v>
      </c>
      <c r="K71" s="306"/>
      <c r="L71" s="306"/>
    </row>
    <row r="72" spans="1:13" x14ac:dyDescent="0.2">
      <c r="A72" s="18" t="s">
        <v>227</v>
      </c>
      <c r="B72" s="380" t="s">
        <v>164</v>
      </c>
      <c r="C72" s="380" t="s">
        <v>240</v>
      </c>
      <c r="D72" s="390">
        <v>1.3799999999999999E-6</v>
      </c>
      <c r="E72" s="391" t="s">
        <v>203</v>
      </c>
      <c r="F72" s="387">
        <f>_xlfn.XLOOKUP($B72,'12d. Boiler 4 (B004)'!$B$24:$B$84,'12d. Boiler 4 (B004)'!$C$24:$C$84)</f>
        <v>5.3707549817569454E-8</v>
      </c>
      <c r="G72" s="390">
        <f t="shared" si="6"/>
        <v>4.7047813640190841E-4</v>
      </c>
      <c r="H72" s="387">
        <f>_xlfn.XLOOKUP($B72,'12d. Boiler 4 (B004)'!$B$24:$B$84,'12d. Boiler 4 (B004)'!$D$24:$D$84)</f>
        <v>2.3523906820095421E-7</v>
      </c>
      <c r="I72" s="390" t="s">
        <v>208</v>
      </c>
      <c r="K72" s="306"/>
      <c r="L72" s="306"/>
    </row>
    <row r="73" spans="1:13" x14ac:dyDescent="0.2">
      <c r="A73" s="18" t="s">
        <v>227</v>
      </c>
      <c r="B73" s="380" t="s">
        <v>165</v>
      </c>
      <c r="C73" s="380" t="s">
        <v>240</v>
      </c>
      <c r="D73" s="390">
        <v>2.0699999999999997E-6</v>
      </c>
      <c r="E73" s="391" t="s">
        <v>203</v>
      </c>
      <c r="F73" s="387">
        <f>_xlfn.XLOOKUP($B73,'12d. Boiler 4 (B004)'!$B$24:$B$84,'12d. Boiler 4 (B004)'!$C$24:$C$84)</f>
        <v>8.0561324726354178E-8</v>
      </c>
      <c r="G73" s="390">
        <f t="shared" si="6"/>
        <v>7.0571720460286256E-4</v>
      </c>
      <c r="H73" s="387">
        <f>_xlfn.XLOOKUP($B73,'12d. Boiler 4 (B004)'!$B$24:$B$84,'12d. Boiler 4 (B004)'!$D$24:$D$84)</f>
        <v>3.5285860230143129E-7</v>
      </c>
      <c r="I73" s="390" t="s">
        <v>208</v>
      </c>
      <c r="K73" s="306"/>
      <c r="L73" s="306"/>
    </row>
    <row r="74" spans="1:13" x14ac:dyDescent="0.2">
      <c r="A74" s="18" t="s">
        <v>227</v>
      </c>
      <c r="B74" s="380" t="s">
        <v>166</v>
      </c>
      <c r="C74" s="380" t="s">
        <v>240</v>
      </c>
      <c r="D74" s="390">
        <v>1.3799999999999999E-6</v>
      </c>
      <c r="E74" s="391" t="s">
        <v>203</v>
      </c>
      <c r="F74" s="387">
        <f>_xlfn.XLOOKUP($B74,'12d. Boiler 4 (B004)'!$B$24:$B$84,'12d. Boiler 4 (B004)'!$C$24:$C$84)</f>
        <v>5.3707549817569454E-8</v>
      </c>
      <c r="G74" s="390">
        <f t="shared" si="6"/>
        <v>4.7047813640190841E-4</v>
      </c>
      <c r="H74" s="387">
        <f>_xlfn.XLOOKUP($B74,'12d. Boiler 4 (B004)'!$B$24:$B$84,'12d. Boiler 4 (B004)'!$D$24:$D$84)</f>
        <v>2.3523906820095421E-7</v>
      </c>
      <c r="I74" s="390" t="s">
        <v>208</v>
      </c>
      <c r="K74" s="306"/>
      <c r="L74" s="306"/>
    </row>
    <row r="75" spans="1:13" x14ac:dyDescent="0.2">
      <c r="A75" s="18" t="s">
        <v>227</v>
      </c>
      <c r="B75" s="380" t="s">
        <v>167</v>
      </c>
      <c r="C75" s="380" t="s">
        <v>240</v>
      </c>
      <c r="D75" s="390">
        <v>2.0699999999999997E-6</v>
      </c>
      <c r="E75" s="391" t="s">
        <v>203</v>
      </c>
      <c r="F75" s="387">
        <f>_xlfn.XLOOKUP($B75,'12d. Boiler 4 (B004)'!$B$24:$B$84,'12d. Boiler 4 (B004)'!$C$24:$C$84)</f>
        <v>8.0561324726354178E-8</v>
      </c>
      <c r="G75" s="390">
        <f t="shared" si="6"/>
        <v>7.0571720460286256E-4</v>
      </c>
      <c r="H75" s="387">
        <f>_xlfn.XLOOKUP($B75,'12d. Boiler 4 (B004)'!$B$24:$B$84,'12d. Boiler 4 (B004)'!$D$24:$D$84)</f>
        <v>3.5285860230143129E-7</v>
      </c>
      <c r="I75" s="390" t="s">
        <v>208</v>
      </c>
      <c r="K75" s="306"/>
      <c r="L75" s="306"/>
    </row>
    <row r="76" spans="1:13" x14ac:dyDescent="0.2">
      <c r="A76" s="18" t="s">
        <v>227</v>
      </c>
      <c r="B76" s="380" t="s">
        <v>168</v>
      </c>
      <c r="C76" s="380" t="s">
        <v>240</v>
      </c>
      <c r="D76" s="390">
        <v>2.0699999999999997E-6</v>
      </c>
      <c r="E76" s="391" t="s">
        <v>203</v>
      </c>
      <c r="F76" s="387">
        <f>_xlfn.XLOOKUP($B76,'12d. Boiler 4 (B004)'!$B$24:$B$84,'12d. Boiler 4 (B004)'!$C$24:$C$84)</f>
        <v>8.0561324726354178E-8</v>
      </c>
      <c r="G76" s="390">
        <f t="shared" si="6"/>
        <v>7.0571720460286256E-4</v>
      </c>
      <c r="H76" s="387">
        <f>_xlfn.XLOOKUP($B76,'12d. Boiler 4 (B004)'!$B$24:$B$84,'12d. Boiler 4 (B004)'!$D$24:$D$84)</f>
        <v>3.5285860230143129E-7</v>
      </c>
      <c r="I76" s="390" t="s">
        <v>208</v>
      </c>
      <c r="K76" s="306"/>
      <c r="L76" s="306"/>
    </row>
    <row r="77" spans="1:13" x14ac:dyDescent="0.2">
      <c r="A77" s="18" t="s">
        <v>227</v>
      </c>
      <c r="B77" s="380" t="s">
        <v>169</v>
      </c>
      <c r="C77" s="380" t="s">
        <v>240</v>
      </c>
      <c r="D77" s="390">
        <v>1.3799999999999999E-6</v>
      </c>
      <c r="E77" s="391" t="s">
        <v>203</v>
      </c>
      <c r="F77" s="387">
        <f>_xlfn.XLOOKUP($B77,'12d. Boiler 4 (B004)'!$B$24:$B$84,'12d. Boiler 4 (B004)'!$C$24:$C$84)</f>
        <v>5.3707549817569454E-8</v>
      </c>
      <c r="G77" s="390">
        <f t="shared" si="6"/>
        <v>4.7047813640190841E-4</v>
      </c>
      <c r="H77" s="387">
        <f>_xlfn.XLOOKUP($B77,'12d. Boiler 4 (B004)'!$B$24:$B$84,'12d. Boiler 4 (B004)'!$D$24:$D$84)</f>
        <v>2.3523906820095421E-7</v>
      </c>
      <c r="I77" s="390" t="s">
        <v>208</v>
      </c>
      <c r="K77" s="306"/>
      <c r="L77" s="306"/>
    </row>
    <row r="78" spans="1:13" x14ac:dyDescent="0.2">
      <c r="A78" s="18" t="s">
        <v>227</v>
      </c>
      <c r="B78" s="380" t="s">
        <v>170</v>
      </c>
      <c r="C78" s="380" t="s">
        <v>240</v>
      </c>
      <c r="D78" s="390">
        <v>1.3799999999999997E-3</v>
      </c>
      <c r="E78" s="391" t="s">
        <v>203</v>
      </c>
      <c r="F78" s="387">
        <f>_xlfn.XLOOKUP($B78,'12d. Boiler 4 (B004)'!$B$24:$B$84,'12d. Boiler 4 (B004)'!$C$24:$C$84)</f>
        <v>5.3707549817569443E-5</v>
      </c>
      <c r="G78" s="390">
        <f t="shared" si="6"/>
        <v>0.47047813640190833</v>
      </c>
      <c r="H78" s="387">
        <f>_xlfn.XLOOKUP($B78,'12d. Boiler 4 (B004)'!$B$24:$B$84,'12d. Boiler 4 (B004)'!$D$24:$D$84)</f>
        <v>2.3523906820095418E-4</v>
      </c>
      <c r="I78" s="390" t="s">
        <v>208</v>
      </c>
      <c r="K78" s="306"/>
      <c r="L78" s="306"/>
    </row>
    <row r="79" spans="1:13" x14ac:dyDescent="0.2">
      <c r="A79" s="18" t="s">
        <v>227</v>
      </c>
      <c r="B79" s="380" t="s">
        <v>171</v>
      </c>
      <c r="C79" s="380" t="s">
        <v>240</v>
      </c>
      <c r="D79" s="390">
        <v>3.45E-6</v>
      </c>
      <c r="E79" s="391" t="s">
        <v>203</v>
      </c>
      <c r="F79" s="387">
        <f>_xlfn.XLOOKUP($B79,'12d. Boiler 4 (B004)'!$B$24:$B$84,'12d. Boiler 4 (B004)'!$C$24:$C$84)</f>
        <v>1.3426887454392363E-7</v>
      </c>
      <c r="G79" s="390">
        <f t="shared" si="6"/>
        <v>1.176195341004771E-3</v>
      </c>
      <c r="H79" s="387">
        <f>_xlfn.XLOOKUP($B79,'12d. Boiler 4 (B004)'!$B$24:$B$84,'12d. Boiler 4 (B004)'!$D$24:$D$84)</f>
        <v>5.8809767050238546E-7</v>
      </c>
      <c r="I79" s="390" t="s">
        <v>208</v>
      </c>
      <c r="K79" s="306"/>
      <c r="L79" s="306"/>
    </row>
    <row r="80" spans="1:13" x14ac:dyDescent="0.2">
      <c r="A80" s="18" t="s">
        <v>227</v>
      </c>
      <c r="B80" s="380" t="s">
        <v>172</v>
      </c>
      <c r="C80" s="380" t="s">
        <v>240</v>
      </c>
      <c r="D80" s="390">
        <v>3.2199999999999997E-6</v>
      </c>
      <c r="E80" s="391" t="s">
        <v>203</v>
      </c>
      <c r="F80" s="387">
        <f>_xlfn.XLOOKUP($B80,'12d. Boiler 4 (B004)'!$B$24:$B$84,'12d. Boiler 4 (B004)'!$C$24:$C$84)</f>
        <v>1.2531761624099537E-7</v>
      </c>
      <c r="G80" s="390">
        <f t="shared" si="6"/>
        <v>1.0977823182711196E-3</v>
      </c>
      <c r="H80" s="387">
        <f>_xlfn.XLOOKUP($B80,'12d. Boiler 4 (B004)'!$B$24:$B$84,'12d. Boiler 4 (B004)'!$D$24:$D$84)</f>
        <v>5.4889115913555974E-7</v>
      </c>
      <c r="I80" s="390" t="s">
        <v>208</v>
      </c>
      <c r="K80" s="306"/>
      <c r="L80" s="306"/>
    </row>
    <row r="81" spans="1:12" x14ac:dyDescent="0.2">
      <c r="A81" s="18" t="s">
        <v>227</v>
      </c>
      <c r="B81" s="380" t="s">
        <v>173</v>
      </c>
      <c r="C81" s="380" t="s">
        <v>238</v>
      </c>
      <c r="D81" s="390">
        <v>8.6249999999999993E-2</v>
      </c>
      <c r="E81" s="391" t="s">
        <v>203</v>
      </c>
      <c r="F81" s="387">
        <f>_xlfn.XLOOKUP($B81,'12d. Boiler 4 (B004)'!$B$24:$B$84,'12d. Boiler 4 (B004)'!$C$24:$C$84)</f>
        <v>3.3567218635980906E-3</v>
      </c>
      <c r="G81" s="390">
        <f t="shared" si="6"/>
        <v>29.404883525119274</v>
      </c>
      <c r="H81" s="387">
        <f>_xlfn.XLOOKUP($B81,'12d. Boiler 4 (B004)'!$B$24:$B$84,'12d. Boiler 4 (B004)'!$D$24:$D$84)</f>
        <v>1.4702441762559637E-2</v>
      </c>
      <c r="I81" s="390" t="s">
        <v>208</v>
      </c>
      <c r="K81" s="306"/>
      <c r="L81" s="306"/>
    </row>
    <row r="82" spans="1:12" x14ac:dyDescent="0.2">
      <c r="A82" s="18" t="s">
        <v>227</v>
      </c>
      <c r="B82" s="380" t="s">
        <v>174</v>
      </c>
      <c r="C82" s="380" t="s">
        <v>238</v>
      </c>
      <c r="D82" s="390">
        <v>2.0699999999999998</v>
      </c>
      <c r="E82" s="391" t="s">
        <v>203</v>
      </c>
      <c r="F82" s="387">
        <f>_xlfn.XLOOKUP($B82,'12d. Boiler 4 (B004)'!$B$24:$B$84,'12d. Boiler 4 (B004)'!$C$24:$C$84)</f>
        <v>8.0561324726354175E-2</v>
      </c>
      <c r="G82" s="390">
        <f t="shared" si="6"/>
        <v>705.71720460286258</v>
      </c>
      <c r="H82" s="387">
        <f>_xlfn.XLOOKUP($B82,'12d. Boiler 4 (B004)'!$B$24:$B$84,'12d. Boiler 4 (B004)'!$D$24:$D$84)</f>
        <v>0.35285860230143129</v>
      </c>
      <c r="I82" s="390" t="s">
        <v>208</v>
      </c>
      <c r="K82" s="306"/>
      <c r="L82" s="306"/>
    </row>
    <row r="83" spans="1:12" x14ac:dyDescent="0.2">
      <c r="A83" s="18" t="s">
        <v>227</v>
      </c>
      <c r="B83" s="380" t="s">
        <v>175</v>
      </c>
      <c r="C83" s="380" t="s">
        <v>240</v>
      </c>
      <c r="D83" s="390">
        <v>1.3339999999999999E-8</v>
      </c>
      <c r="E83" s="391" t="s">
        <v>203</v>
      </c>
      <c r="F83" s="387">
        <f>_xlfn.XLOOKUP($B83,'12d. Boiler 4 (B004)'!$B$24:$B$84,'12d. Boiler 4 (B004)'!$C$24:$C$84)</f>
        <v>5.1917298156983807E-10</v>
      </c>
      <c r="G83" s="390">
        <f t="shared" si="6"/>
        <v>4.5479553185517812E-6</v>
      </c>
      <c r="H83" s="387">
        <f>_xlfn.XLOOKUP($B83,'12d. Boiler 4 (B004)'!$B$24:$B$84,'12d. Boiler 4 (B004)'!$D$24:$D$84)</f>
        <v>2.2739776592758906E-9</v>
      </c>
      <c r="I83" s="390" t="s">
        <v>208</v>
      </c>
      <c r="K83" s="306"/>
      <c r="L83" s="306"/>
    </row>
    <row r="84" spans="1:12" x14ac:dyDescent="0.2">
      <c r="A84" s="18" t="s">
        <v>227</v>
      </c>
      <c r="B84" s="380" t="s">
        <v>176</v>
      </c>
      <c r="C84" s="380" t="s">
        <v>240</v>
      </c>
      <c r="D84" s="390">
        <v>4.507999999999999E-6</v>
      </c>
      <c r="E84" s="391" t="s">
        <v>203</v>
      </c>
      <c r="F84" s="387">
        <f>_xlfn.XLOOKUP($B84,'12d. Boiler 4 (B004)'!$B$24:$B$84,'12d. Boiler 4 (B004)'!$C$24:$C$84)</f>
        <v>1.7544466273739352E-7</v>
      </c>
      <c r="G84" s="390">
        <f t="shared" si="6"/>
        <v>1.5368952455795672E-3</v>
      </c>
      <c r="H84" s="387">
        <f>_xlfn.XLOOKUP($B84,'12d. Boiler 4 (B004)'!$B$24:$B$84,'12d. Boiler 4 (B004)'!$D$24:$D$84)</f>
        <v>7.6844762278978366E-7</v>
      </c>
      <c r="I84" s="390" t="s">
        <v>208</v>
      </c>
      <c r="K84" s="306"/>
      <c r="L84" s="306"/>
    </row>
    <row r="85" spans="1:12" x14ac:dyDescent="0.2">
      <c r="A85" s="18" t="s">
        <v>227</v>
      </c>
      <c r="B85" s="380" t="s">
        <v>177</v>
      </c>
      <c r="C85" s="380" t="s">
        <v>240</v>
      </c>
      <c r="D85" s="390">
        <v>1.2534999999999999E-7</v>
      </c>
      <c r="E85" s="391" t="s">
        <v>203</v>
      </c>
      <c r="F85" s="387">
        <f>_xlfn.XLOOKUP($B85,'12d. Boiler 4 (B004)'!$B$24:$B$84,'12d. Boiler 4 (B004)'!$C$24:$C$84)</f>
        <v>4.878435775095892E-9</v>
      </c>
      <c r="G85" s="390">
        <f t="shared" si="6"/>
        <v>4.2735097389840011E-5</v>
      </c>
      <c r="H85" s="387">
        <f>_xlfn.XLOOKUP($B85,'12d. Boiler 4 (B004)'!$B$24:$B$84,'12d. Boiler 4 (B004)'!$D$24:$D$84)</f>
        <v>2.1367548694920006E-8</v>
      </c>
      <c r="I85" s="390" t="s">
        <v>208</v>
      </c>
      <c r="K85" s="306"/>
      <c r="L85" s="306"/>
    </row>
    <row r="86" spans="1:12" x14ac:dyDescent="0.2">
      <c r="A86" s="18" t="s">
        <v>227</v>
      </c>
      <c r="B86" s="380" t="s">
        <v>178</v>
      </c>
      <c r="C86" s="380" t="s">
        <v>240</v>
      </c>
      <c r="D86" s="390">
        <v>3.6915000000000003E-8</v>
      </c>
      <c r="E86" s="391" t="s">
        <v>203</v>
      </c>
      <c r="F86" s="387">
        <f>_xlfn.XLOOKUP($B86,'12d. Boiler 4 (B004)'!$B$24:$B$84,'12d. Boiler 4 (B004)'!$C$24:$C$84)</f>
        <v>1.4366769576199829E-9</v>
      </c>
      <c r="G86" s="390">
        <f t="shared" si="6"/>
        <v>1.2585290148751051E-5</v>
      </c>
      <c r="H86" s="387">
        <f>_xlfn.XLOOKUP($B86,'12d. Boiler 4 (B004)'!$B$24:$B$84,'12d. Boiler 4 (B004)'!$D$24:$D$84)</f>
        <v>6.2926450743755252E-9</v>
      </c>
      <c r="I86" s="390" t="s">
        <v>208</v>
      </c>
      <c r="K86" s="306"/>
      <c r="L86" s="306"/>
    </row>
    <row r="87" spans="1:12" x14ac:dyDescent="0.2">
      <c r="A87" s="18" t="s">
        <v>227</v>
      </c>
      <c r="B87" s="380" t="s">
        <v>179</v>
      </c>
      <c r="C87" s="380" t="s">
        <v>238</v>
      </c>
      <c r="D87" s="390">
        <v>2.5069999999999999E-5</v>
      </c>
      <c r="E87" s="391" t="s">
        <v>203</v>
      </c>
      <c r="F87" s="387">
        <f>_xlfn.XLOOKUP($B87,'12d. Boiler 4 (B004)'!$B$24:$B$84,'12d. Boiler 4 (B004)'!$C$24:$C$84)</f>
        <v>9.7568715501917844E-7</v>
      </c>
      <c r="G87" s="390">
        <f t="shared" si="6"/>
        <v>8.5470194779680032E-3</v>
      </c>
      <c r="H87" s="387">
        <f>_xlfn.XLOOKUP($B87,'12d. Boiler 4 (B004)'!$B$24:$B$84,'12d. Boiler 4 (B004)'!$D$24:$D$84)</f>
        <v>4.2735097389840018E-6</v>
      </c>
      <c r="I87" s="390" t="s">
        <v>208</v>
      </c>
      <c r="K87" s="306"/>
      <c r="L87" s="306"/>
    </row>
    <row r="88" spans="1:12" x14ac:dyDescent="0.2">
      <c r="A88" s="18" t="s">
        <v>227</v>
      </c>
      <c r="B88" s="380" t="s">
        <v>153</v>
      </c>
      <c r="C88" s="380" t="s">
        <v>238</v>
      </c>
      <c r="D88" s="390">
        <v>4.5599999999999996</v>
      </c>
      <c r="E88" s="391" t="s">
        <v>203</v>
      </c>
      <c r="F88" s="387">
        <f>_xlfn.XLOOKUP($B88,'12d. Boiler 4 (B004)'!$B$24:$B$84,'12d. Boiler 4 (B004)'!$C$24:$C$84)</f>
        <v>0.37071721711940592</v>
      </c>
      <c r="G88" s="390">
        <f t="shared" si="6"/>
        <v>3247.4828219659958</v>
      </c>
      <c r="H88" s="387">
        <f>_xlfn.XLOOKUP($B88,'12d. Boiler 4 (B004)'!$B$24:$B$84,'12d. Boiler 4 (B004)'!$D$24:$D$84)</f>
        <v>1.623741410982998</v>
      </c>
      <c r="I88" s="390" t="s">
        <v>253</v>
      </c>
      <c r="K88" s="306"/>
      <c r="L88" s="306"/>
    </row>
    <row r="89" spans="1:12" x14ac:dyDescent="0.2">
      <c r="A89" s="18" t="s">
        <v>227</v>
      </c>
      <c r="B89" s="380" t="s">
        <v>254</v>
      </c>
      <c r="C89" s="380" t="s">
        <v>238</v>
      </c>
      <c r="D89" s="390">
        <v>3.3000000000000002E-2</v>
      </c>
      <c r="E89" s="391" t="s">
        <v>203</v>
      </c>
      <c r="F89" s="387">
        <f>_xlfn.XLOOKUP($B89,'12d. Boiler 4 (B004)'!$B$24:$B$84,'12d. Boiler 4 (B004)'!$C$24:$C$84)</f>
        <v>2.6828219659957007E-3</v>
      </c>
      <c r="G89" s="390">
        <f t="shared" si="6"/>
        <v>23.50152042212234</v>
      </c>
      <c r="H89" s="387">
        <f>_xlfn.XLOOKUP($B89,'12d. Boiler 4 (B004)'!$B$24:$B$84,'12d. Boiler 4 (B004)'!$D$24:$D$84)</f>
        <v>1.1750760211061169E-2</v>
      </c>
      <c r="I89" s="390" t="s">
        <v>253</v>
      </c>
      <c r="K89" s="306"/>
      <c r="L89" s="306"/>
    </row>
    <row r="90" spans="1:12" x14ac:dyDescent="0.2">
      <c r="A90" s="18" t="s">
        <v>227</v>
      </c>
      <c r="B90" s="380" t="s">
        <v>182</v>
      </c>
      <c r="C90" s="380" t="s">
        <v>238</v>
      </c>
      <c r="D90" s="390">
        <v>6.5000000000000002E-2</v>
      </c>
      <c r="E90" s="391" t="s">
        <v>203</v>
      </c>
      <c r="F90" s="387">
        <f>_xlfn.XLOOKUP($B90,'12d. Boiler 4 (B004)'!$B$24:$B$84,'12d. Boiler 4 (B004)'!$C$24:$C$84)</f>
        <v>5.2843462966581985E-3</v>
      </c>
      <c r="G90" s="390">
        <f t="shared" si="6"/>
        <v>46.290873558725821</v>
      </c>
      <c r="H90" s="387">
        <f>_xlfn.XLOOKUP($B90,'12d. Boiler 4 (B004)'!$B$24:$B$84,'12d. Boiler 4 (B004)'!$D$24:$D$84)</f>
        <v>2.3145436779362909E-2</v>
      </c>
      <c r="I90" s="390" t="s">
        <v>253</v>
      </c>
      <c r="K90" s="306"/>
      <c r="L90" s="306"/>
    </row>
    <row r="91" spans="1:12" x14ac:dyDescent="0.2">
      <c r="A91" s="18" t="s">
        <v>227</v>
      </c>
      <c r="B91" s="380" t="s">
        <v>183</v>
      </c>
      <c r="C91" s="380" t="s">
        <v>238</v>
      </c>
      <c r="D91" s="390">
        <v>0.155</v>
      </c>
      <c r="E91" s="391" t="s">
        <v>203</v>
      </c>
      <c r="F91" s="387">
        <f>_xlfn.XLOOKUP($B91,'12d. Boiler 4 (B004)'!$B$24:$B$84,'12d. Boiler 4 (B004)'!$C$24:$C$84)</f>
        <v>0.14322013284685187</v>
      </c>
      <c r="G91" s="390">
        <f t="shared" si="6"/>
        <v>1254.6083637384224</v>
      </c>
      <c r="H91" s="387">
        <f>_xlfn.XLOOKUP($B91,'12d. Boiler 4 (B004)'!$B$24:$B$84,'12d. Boiler 4 (B004)'!$D$24:$D$84)</f>
        <v>0.62730418186921122</v>
      </c>
      <c r="I91" s="390" t="s">
        <v>209</v>
      </c>
      <c r="K91" s="306"/>
      <c r="L91" s="306"/>
    </row>
    <row r="92" spans="1:12" x14ac:dyDescent="0.2">
      <c r="A92" s="18" t="s">
        <v>227</v>
      </c>
      <c r="B92" s="380" t="s">
        <v>66</v>
      </c>
      <c r="C92" s="380" t="s">
        <v>237</v>
      </c>
      <c r="D92" s="390">
        <v>5.7499999999999999E-4</v>
      </c>
      <c r="E92" s="391" t="s">
        <v>203</v>
      </c>
      <c r="F92" s="387">
        <f>_xlfn.XLOOKUP($B92,'12d. Boiler 4 (B004)'!$B$24:$B$84,'12d. Boiler 4 (B004)'!$C$24:$C$84)</f>
        <v>2.2378145757320606E-5</v>
      </c>
      <c r="G92" s="390">
        <f t="shared" si="6"/>
        <v>0.19603255683412851</v>
      </c>
      <c r="H92" s="387">
        <f>_xlfn.XLOOKUP($B92,'12d. Boiler 4 (B004)'!$B$24:$B$84,'12d. Boiler 4 (B004)'!$D$24:$D$84)</f>
        <v>9.8016278417064256E-5</v>
      </c>
      <c r="I92" s="390" t="s">
        <v>204</v>
      </c>
      <c r="K92" s="306"/>
      <c r="L92" s="306"/>
    </row>
    <row r="93" spans="1:12" x14ac:dyDescent="0.2">
      <c r="A93" s="18" t="s">
        <v>227</v>
      </c>
      <c r="B93" s="380" t="s">
        <v>185</v>
      </c>
      <c r="C93" s="380" t="s">
        <v>237</v>
      </c>
      <c r="D93" s="390">
        <v>1.4719999999999998E-6</v>
      </c>
      <c r="E93" s="391" t="s">
        <v>203</v>
      </c>
      <c r="F93" s="387">
        <f>_xlfn.XLOOKUP($B93,'12d. Boiler 4 (B004)'!$B$24:$B$84,'12d. Boiler 4 (B004)'!$C$24:$C$84)</f>
        <v>5.7288053138740745E-8</v>
      </c>
      <c r="G93" s="390">
        <f t="shared" si="6"/>
        <v>5.0184334549536894E-4</v>
      </c>
      <c r="H93" s="387">
        <f>_xlfn.XLOOKUP($B93,'12d. Boiler 4 (B004)'!$B$24:$B$84,'12d. Boiler 4 (B004)'!$D$24:$D$84)</f>
        <v>2.5092167274768446E-7</v>
      </c>
      <c r="I93" s="390" t="s">
        <v>210</v>
      </c>
      <c r="K93" s="306"/>
      <c r="L93" s="306"/>
    </row>
    <row r="94" spans="1:12" x14ac:dyDescent="0.2">
      <c r="A94" s="18" t="s">
        <v>227</v>
      </c>
      <c r="B94" s="380" t="s">
        <v>186</v>
      </c>
      <c r="C94" s="380" t="s">
        <v>237</v>
      </c>
      <c r="D94" s="390">
        <v>8.8549999999999996E-8</v>
      </c>
      <c r="E94" s="391" t="s">
        <v>203</v>
      </c>
      <c r="F94" s="387">
        <f>_xlfn.XLOOKUP($B94,'12d. Boiler 4 (B004)'!$B$24:$B$84,'12d. Boiler 4 (B004)'!$C$24:$C$84)</f>
        <v>3.4462344466273735E-9</v>
      </c>
      <c r="G94" s="390">
        <f t="shared" si="6"/>
        <v>3.018901375245579E-5</v>
      </c>
      <c r="H94" s="387">
        <f>_xlfn.XLOOKUP($B94,'12d. Boiler 4 (B004)'!$B$24:$B$84,'12d. Boiler 4 (B004)'!$D$24:$D$84)</f>
        <v>1.5094506876227895E-8</v>
      </c>
      <c r="I94" s="390" t="s">
        <v>210</v>
      </c>
      <c r="K94" s="306"/>
      <c r="L94" s="306"/>
    </row>
    <row r="95" spans="1:12" x14ac:dyDescent="0.2">
      <c r="A95" s="18" t="s">
        <v>227</v>
      </c>
      <c r="B95" s="380" t="s">
        <v>187</v>
      </c>
      <c r="C95" s="380" t="s">
        <v>237</v>
      </c>
      <c r="D95" s="390">
        <v>8.1189999999999997E-6</v>
      </c>
      <c r="E95" s="391" t="s">
        <v>203</v>
      </c>
      <c r="F95" s="387">
        <f>_xlfn.XLOOKUP($B95,'12d. Boiler 4 (B004)'!$B$24:$B$84,'12d. Boiler 4 (B004)'!$C$24:$C$84)</f>
        <v>3.1597941809336691E-7</v>
      </c>
      <c r="G95" s="390">
        <f t="shared" si="6"/>
        <v>2.7679797024978943E-3</v>
      </c>
      <c r="H95" s="387">
        <f>_xlfn.XLOOKUP($B95,'12d. Boiler 4 (B004)'!$B$24:$B$84,'12d. Boiler 4 (B004)'!$D$24:$D$84)</f>
        <v>1.3839898512489471E-6</v>
      </c>
      <c r="I95" s="390" t="s">
        <v>210</v>
      </c>
      <c r="K95" s="306"/>
      <c r="L95" s="306"/>
    </row>
    <row r="96" spans="1:12" x14ac:dyDescent="0.2">
      <c r="A96" s="18" t="s">
        <v>227</v>
      </c>
      <c r="B96" s="380" t="s">
        <v>188</v>
      </c>
      <c r="C96" s="380" t="s">
        <v>237</v>
      </c>
      <c r="D96" s="390">
        <v>1.0338499999999999E-5</v>
      </c>
      <c r="E96" s="391" t="s">
        <v>203</v>
      </c>
      <c r="F96" s="387">
        <f>_xlfn.XLOOKUP($B96,'12d. Boiler 4 (B004)'!$B$24:$B$84,'12d. Boiler 4 (B004)'!$C$24:$C$84)</f>
        <v>4.0235906071662449E-7</v>
      </c>
      <c r="G96" s="387">
        <f t="shared" si="6"/>
        <v>3.5246653718776304E-3</v>
      </c>
      <c r="H96" s="387">
        <f>_xlfn.XLOOKUP($B96,'12d. Boiler 4 (B004)'!$B$24:$B$84,'12d. Boiler 4 (B004)'!$D$24:$D$84)</f>
        <v>1.7623326859388152E-6</v>
      </c>
      <c r="I96" s="390" t="s">
        <v>210</v>
      </c>
      <c r="K96" s="306"/>
      <c r="L96" s="306"/>
    </row>
    <row r="97" spans="1:12" x14ac:dyDescent="0.2">
      <c r="A97" s="18" t="s">
        <v>227</v>
      </c>
      <c r="B97" s="380" t="s">
        <v>189</v>
      </c>
      <c r="C97" s="380" t="s">
        <v>237</v>
      </c>
      <c r="D97" s="390">
        <v>6.1984999999999998E-7</v>
      </c>
      <c r="E97" s="391" t="s">
        <v>203</v>
      </c>
      <c r="F97" s="387">
        <f>_xlfn.XLOOKUP($B97,'12d. Boiler 4 (B004)'!$B$24:$B$84,'12d. Boiler 4 (B004)'!$C$24:$C$84)</f>
        <v>2.4123641126391612E-8</v>
      </c>
      <c r="G97" s="390">
        <f t="shared" si="6"/>
        <v>2.1132309626719053E-4</v>
      </c>
      <c r="H97" s="387">
        <f>_xlfn.XLOOKUP($B97,'12d. Boiler 4 (B004)'!$B$24:$B$84,'12d. Boiler 4 (B004)'!$D$24:$D$84)</f>
        <v>1.0566154813359527E-7</v>
      </c>
      <c r="I97" s="390" t="s">
        <v>210</v>
      </c>
      <c r="K97" s="306"/>
      <c r="L97" s="306"/>
    </row>
    <row r="98" spans="1:12" x14ac:dyDescent="0.2">
      <c r="A98" s="18" t="s">
        <v>227</v>
      </c>
      <c r="B98" s="380" t="s">
        <v>190</v>
      </c>
      <c r="C98" s="380" t="s">
        <v>237</v>
      </c>
      <c r="D98" s="390">
        <v>2.8059999999999999E-6</v>
      </c>
      <c r="E98" s="391" t="s">
        <v>203</v>
      </c>
      <c r="F98" s="387">
        <f>_xlfn.XLOOKUP($B98,'12d. Boiler 4 (B004)'!$B$24:$B$84,'12d. Boiler 4 (B004)'!$C$24:$C$84)</f>
        <v>1.0920535129572455E-7</v>
      </c>
      <c r="G98" s="390">
        <f t="shared" si="6"/>
        <v>9.5663887735054714E-4</v>
      </c>
      <c r="H98" s="387">
        <f>_xlfn.XLOOKUP($B98,'12d. Boiler 4 (B004)'!$B$24:$B$84,'12d. Boiler 4 (B004)'!$D$24:$D$84)</f>
        <v>4.7831943867527355E-7</v>
      </c>
      <c r="I98" s="390" t="s">
        <v>210</v>
      </c>
      <c r="K98" s="306"/>
      <c r="L98" s="306"/>
    </row>
    <row r="99" spans="1:12" x14ac:dyDescent="0.2">
      <c r="A99" s="18" t="s">
        <v>227</v>
      </c>
      <c r="B99" s="380" t="s">
        <v>191</v>
      </c>
      <c r="C99" s="380" t="s">
        <v>239</v>
      </c>
      <c r="D99" s="390">
        <v>2.9899999999999995E-4</v>
      </c>
      <c r="E99" s="391" t="s">
        <v>203</v>
      </c>
      <c r="F99" s="387">
        <f>_xlfn.XLOOKUP($B99,'12d. Boiler 4 (B004)'!$B$24:$B$84,'12d. Boiler 4 (B004)'!$C$24:$C$84)</f>
        <v>1.1636635793806714E-5</v>
      </c>
      <c r="G99" s="390">
        <f t="shared" si="6"/>
        <v>0.10193692955374681</v>
      </c>
      <c r="H99" s="387">
        <f>_xlfn.XLOOKUP($B99,'12d. Boiler 4 (B004)'!$B$24:$B$84,'12d. Boiler 4 (B004)'!$D$24:$D$84)</f>
        <v>5.0968464776873405E-5</v>
      </c>
      <c r="I99" s="390" t="s">
        <v>210</v>
      </c>
      <c r="K99" s="306"/>
      <c r="L99" s="306"/>
    </row>
    <row r="100" spans="1:12" x14ac:dyDescent="0.2">
      <c r="A100" s="18" t="s">
        <v>227</v>
      </c>
      <c r="B100" s="380" t="s">
        <v>192</v>
      </c>
      <c r="C100" s="380" t="s">
        <v>237</v>
      </c>
      <c r="D100" s="390">
        <v>1.5524999999999998E-5</v>
      </c>
      <c r="E100" s="391" t="s">
        <v>203</v>
      </c>
      <c r="F100" s="387">
        <f>_xlfn.XLOOKUP($B100,'12d. Boiler 4 (B004)'!$B$24:$B$84,'12d. Boiler 4 (B004)'!$C$24:$C$84)</f>
        <v>6.0420993544765629E-7</v>
      </c>
      <c r="G100" s="390">
        <f t="shared" si="6"/>
        <v>5.2928790345214694E-3</v>
      </c>
      <c r="H100" s="387">
        <f>_xlfn.XLOOKUP($B100,'12d. Boiler 4 (B004)'!$B$24:$B$84,'12d. Boiler 4 (B004)'!$D$24:$D$84)</f>
        <v>2.6464395172607348E-6</v>
      </c>
      <c r="I100" s="390" t="s">
        <v>210</v>
      </c>
      <c r="K100" s="306"/>
      <c r="L100" s="306"/>
    </row>
    <row r="101" spans="1:12" x14ac:dyDescent="0.2">
      <c r="A101" s="18" t="s">
        <v>227</v>
      </c>
      <c r="B101" s="380" t="s">
        <v>193</v>
      </c>
      <c r="C101" s="380" t="s">
        <v>237</v>
      </c>
      <c r="D101" s="390">
        <v>1.7709999999999999E-7</v>
      </c>
      <c r="E101" s="391" t="s">
        <v>203</v>
      </c>
      <c r="F101" s="387">
        <f>_xlfn.XLOOKUP($B101,'12d. Boiler 4 (B004)'!$B$24:$B$84,'12d. Boiler 4 (B004)'!$C$24:$C$84)</f>
        <v>6.892468893254747E-9</v>
      </c>
      <c r="G101" s="390">
        <f t="shared" si="6"/>
        <v>6.037802750491158E-5</v>
      </c>
      <c r="H101" s="387">
        <f>_xlfn.XLOOKUP($B101,'12d. Boiler 4 (B004)'!$B$24:$B$84,'12d. Boiler 4 (B004)'!$D$24:$D$84)</f>
        <v>3.018901375245579E-8</v>
      </c>
      <c r="I101" s="390" t="s">
        <v>210</v>
      </c>
      <c r="K101" s="306"/>
      <c r="L101" s="306"/>
    </row>
    <row r="103" spans="1:12" x14ac:dyDescent="0.2">
      <c r="B103" s="379" t="s">
        <v>257</v>
      </c>
    </row>
    <row r="104" spans="1:12" x14ac:dyDescent="0.2">
      <c r="B104" s="578" t="s">
        <v>136</v>
      </c>
      <c r="C104" s="578" t="s">
        <v>245</v>
      </c>
      <c r="D104" s="578" t="s">
        <v>246</v>
      </c>
      <c r="E104" s="578" t="s">
        <v>37</v>
      </c>
      <c r="F104" s="578" t="s">
        <v>247</v>
      </c>
      <c r="G104" s="578"/>
      <c r="H104" s="578"/>
      <c r="I104" s="578" t="s">
        <v>248</v>
      </c>
    </row>
    <row r="105" spans="1:12" x14ac:dyDescent="0.2">
      <c r="B105" s="579"/>
      <c r="C105" s="579"/>
      <c r="D105" s="579"/>
      <c r="E105" s="579"/>
      <c r="F105" s="382" t="s">
        <v>249</v>
      </c>
      <c r="G105" s="382" t="s">
        <v>250</v>
      </c>
      <c r="H105" s="382" t="s">
        <v>251</v>
      </c>
      <c r="I105" s="579"/>
    </row>
    <row r="106" spans="1:12" x14ac:dyDescent="0.2">
      <c r="B106" s="383" t="s">
        <v>258</v>
      </c>
      <c r="C106" s="384"/>
      <c r="D106" s="384"/>
      <c r="E106" s="384"/>
      <c r="F106" s="384"/>
      <c r="G106" s="384"/>
      <c r="H106" s="384"/>
      <c r="I106" s="385"/>
    </row>
    <row r="107" spans="1:12" x14ac:dyDescent="0.2">
      <c r="A107" s="18" t="s">
        <v>226</v>
      </c>
      <c r="B107" s="386" t="s">
        <v>156</v>
      </c>
      <c r="C107" s="386" t="s">
        <v>238</v>
      </c>
      <c r="D107" s="387">
        <v>2.76E-5</v>
      </c>
      <c r="E107" s="388" t="s">
        <v>203</v>
      </c>
      <c r="F107" s="387">
        <v>0</v>
      </c>
      <c r="G107" s="387">
        <v>0</v>
      </c>
      <c r="H107" s="387">
        <v>0</v>
      </c>
      <c r="I107" s="387" t="s">
        <v>208</v>
      </c>
    </row>
    <row r="108" spans="1:12" x14ac:dyDescent="0.2">
      <c r="A108" s="18" t="s">
        <v>226</v>
      </c>
      <c r="B108" s="380" t="s">
        <v>157</v>
      </c>
      <c r="C108" s="380" t="s">
        <v>238</v>
      </c>
      <c r="D108" s="390">
        <v>2.0699999999999997E-6</v>
      </c>
      <c r="E108" s="391" t="s">
        <v>203</v>
      </c>
      <c r="F108" s="387">
        <v>0</v>
      </c>
      <c r="G108" s="390">
        <v>0</v>
      </c>
      <c r="H108" s="387">
        <v>0</v>
      </c>
      <c r="I108" s="390" t="s">
        <v>208</v>
      </c>
    </row>
    <row r="109" spans="1:12" x14ac:dyDescent="0.2">
      <c r="A109" s="18" t="s">
        <v>226</v>
      </c>
      <c r="B109" s="380" t="s">
        <v>158</v>
      </c>
      <c r="C109" s="380" t="s">
        <v>238</v>
      </c>
      <c r="D109" s="390">
        <v>1.8399999999999997E-5</v>
      </c>
      <c r="E109" s="391" t="s">
        <v>203</v>
      </c>
      <c r="F109" s="387">
        <v>0</v>
      </c>
      <c r="G109" s="390">
        <v>0</v>
      </c>
      <c r="H109" s="387">
        <v>0</v>
      </c>
      <c r="I109" s="390" t="s">
        <v>208</v>
      </c>
    </row>
    <row r="110" spans="1:12" x14ac:dyDescent="0.2">
      <c r="A110" s="18" t="s">
        <v>226</v>
      </c>
      <c r="B110" s="380" t="s">
        <v>159</v>
      </c>
      <c r="C110" s="380" t="s">
        <v>238</v>
      </c>
      <c r="D110" s="390">
        <v>2.0699999999999997E-6</v>
      </c>
      <c r="E110" s="391" t="s">
        <v>203</v>
      </c>
      <c r="F110" s="387">
        <v>0</v>
      </c>
      <c r="G110" s="390">
        <v>0</v>
      </c>
      <c r="H110" s="387">
        <v>0</v>
      </c>
      <c r="I110" s="390" t="s">
        <v>208</v>
      </c>
    </row>
    <row r="111" spans="1:12" x14ac:dyDescent="0.2">
      <c r="A111" s="18" t="s">
        <v>226</v>
      </c>
      <c r="B111" s="380" t="s">
        <v>160</v>
      </c>
      <c r="C111" s="380" t="s">
        <v>238</v>
      </c>
      <c r="D111" s="390">
        <v>2.0699999999999997E-6</v>
      </c>
      <c r="E111" s="391" t="s">
        <v>203</v>
      </c>
      <c r="F111" s="387">
        <v>0</v>
      </c>
      <c r="G111" s="390">
        <v>0</v>
      </c>
      <c r="H111" s="387">
        <v>0</v>
      </c>
      <c r="I111" s="390" t="s">
        <v>208</v>
      </c>
    </row>
    <row r="112" spans="1:12" x14ac:dyDescent="0.2">
      <c r="A112" s="18" t="s">
        <v>226</v>
      </c>
      <c r="B112" s="380" t="s">
        <v>161</v>
      </c>
      <c r="C112" s="380" t="s">
        <v>238</v>
      </c>
      <c r="D112" s="390">
        <v>2.7599999999999998E-6</v>
      </c>
      <c r="E112" s="391" t="s">
        <v>203</v>
      </c>
      <c r="F112" s="387">
        <v>0</v>
      </c>
      <c r="G112" s="390">
        <v>0</v>
      </c>
      <c r="H112" s="387">
        <v>0</v>
      </c>
      <c r="I112" s="390" t="s">
        <v>208</v>
      </c>
    </row>
    <row r="113" spans="1:9" x14ac:dyDescent="0.2">
      <c r="A113" s="18" t="s">
        <v>226</v>
      </c>
      <c r="B113" s="380" t="s">
        <v>162</v>
      </c>
      <c r="C113" s="380" t="s">
        <v>240</v>
      </c>
      <c r="D113" s="390">
        <v>2.0699999999999997E-6</v>
      </c>
      <c r="E113" s="391" t="s">
        <v>203</v>
      </c>
      <c r="F113" s="387">
        <v>0</v>
      </c>
      <c r="G113" s="390">
        <v>0</v>
      </c>
      <c r="H113" s="387">
        <v>0</v>
      </c>
      <c r="I113" s="390" t="s">
        <v>208</v>
      </c>
    </row>
    <row r="114" spans="1:9" x14ac:dyDescent="0.2">
      <c r="A114" s="18" t="s">
        <v>226</v>
      </c>
      <c r="B114" s="380" t="s">
        <v>163</v>
      </c>
      <c r="C114" s="380" t="s">
        <v>238</v>
      </c>
      <c r="D114" s="390">
        <v>2.3E-2</v>
      </c>
      <c r="E114" s="391" t="s">
        <v>203</v>
      </c>
      <c r="F114" s="387">
        <v>0</v>
      </c>
      <c r="G114" s="390">
        <v>0</v>
      </c>
      <c r="H114" s="387">
        <v>0</v>
      </c>
      <c r="I114" s="390" t="s">
        <v>208</v>
      </c>
    </row>
    <row r="115" spans="1:9" x14ac:dyDescent="0.2">
      <c r="A115" s="18" t="s">
        <v>226</v>
      </c>
      <c r="B115" s="380" t="s">
        <v>164</v>
      </c>
      <c r="C115" s="380" t="s">
        <v>240</v>
      </c>
      <c r="D115" s="390">
        <v>1.3799999999999999E-6</v>
      </c>
      <c r="E115" s="391" t="s">
        <v>203</v>
      </c>
      <c r="F115" s="387">
        <v>0</v>
      </c>
      <c r="G115" s="390">
        <v>0</v>
      </c>
      <c r="H115" s="387">
        <v>0</v>
      </c>
      <c r="I115" s="390" t="s">
        <v>208</v>
      </c>
    </row>
    <row r="116" spans="1:9" x14ac:dyDescent="0.2">
      <c r="A116" s="18" t="s">
        <v>226</v>
      </c>
      <c r="B116" s="380" t="s">
        <v>165</v>
      </c>
      <c r="C116" s="380" t="s">
        <v>240</v>
      </c>
      <c r="D116" s="390">
        <v>2.0699999999999997E-6</v>
      </c>
      <c r="E116" s="391" t="s">
        <v>203</v>
      </c>
      <c r="F116" s="387">
        <v>0</v>
      </c>
      <c r="G116" s="390">
        <v>0</v>
      </c>
      <c r="H116" s="387">
        <v>0</v>
      </c>
      <c r="I116" s="390" t="s">
        <v>208</v>
      </c>
    </row>
    <row r="117" spans="1:9" x14ac:dyDescent="0.2">
      <c r="A117" s="18" t="s">
        <v>226</v>
      </c>
      <c r="B117" s="380" t="s">
        <v>166</v>
      </c>
      <c r="C117" s="380" t="s">
        <v>240</v>
      </c>
      <c r="D117" s="390">
        <v>1.3799999999999999E-6</v>
      </c>
      <c r="E117" s="391" t="s">
        <v>203</v>
      </c>
      <c r="F117" s="387">
        <v>0</v>
      </c>
      <c r="G117" s="390">
        <v>0</v>
      </c>
      <c r="H117" s="387">
        <v>0</v>
      </c>
      <c r="I117" s="390" t="s">
        <v>208</v>
      </c>
    </row>
    <row r="118" spans="1:9" x14ac:dyDescent="0.2">
      <c r="A118" s="18" t="s">
        <v>226</v>
      </c>
      <c r="B118" s="380" t="s">
        <v>167</v>
      </c>
      <c r="C118" s="380" t="s">
        <v>240</v>
      </c>
      <c r="D118" s="390">
        <v>2.0699999999999997E-6</v>
      </c>
      <c r="E118" s="391" t="s">
        <v>203</v>
      </c>
      <c r="F118" s="387">
        <v>0</v>
      </c>
      <c r="G118" s="390">
        <v>0</v>
      </c>
      <c r="H118" s="387">
        <v>0</v>
      </c>
      <c r="I118" s="390" t="s">
        <v>208</v>
      </c>
    </row>
    <row r="119" spans="1:9" x14ac:dyDescent="0.2">
      <c r="A119" s="18" t="s">
        <v>226</v>
      </c>
      <c r="B119" s="380" t="s">
        <v>168</v>
      </c>
      <c r="C119" s="380" t="s">
        <v>240</v>
      </c>
      <c r="D119" s="390">
        <v>2.0699999999999997E-6</v>
      </c>
      <c r="E119" s="391" t="s">
        <v>203</v>
      </c>
      <c r="F119" s="387">
        <v>0</v>
      </c>
      <c r="G119" s="390">
        <v>0</v>
      </c>
      <c r="H119" s="387">
        <v>0</v>
      </c>
      <c r="I119" s="390" t="s">
        <v>208</v>
      </c>
    </row>
    <row r="120" spans="1:9" x14ac:dyDescent="0.2">
      <c r="A120" s="18" t="s">
        <v>226</v>
      </c>
      <c r="B120" s="380" t="s">
        <v>169</v>
      </c>
      <c r="C120" s="380" t="s">
        <v>240</v>
      </c>
      <c r="D120" s="390">
        <v>1.3799999999999999E-6</v>
      </c>
      <c r="E120" s="391" t="s">
        <v>203</v>
      </c>
      <c r="F120" s="387">
        <v>0</v>
      </c>
      <c r="G120" s="390">
        <v>0</v>
      </c>
      <c r="H120" s="387">
        <v>0</v>
      </c>
      <c r="I120" s="390" t="s">
        <v>208</v>
      </c>
    </row>
    <row r="121" spans="1:9" x14ac:dyDescent="0.2">
      <c r="A121" s="18" t="s">
        <v>226</v>
      </c>
      <c r="B121" s="380" t="s">
        <v>170</v>
      </c>
      <c r="C121" s="380" t="s">
        <v>240</v>
      </c>
      <c r="D121" s="390">
        <v>1.3799999999999997E-3</v>
      </c>
      <c r="E121" s="391" t="s">
        <v>203</v>
      </c>
      <c r="F121" s="387">
        <v>0</v>
      </c>
      <c r="G121" s="390">
        <v>0</v>
      </c>
      <c r="H121" s="387">
        <v>0</v>
      </c>
      <c r="I121" s="390" t="s">
        <v>208</v>
      </c>
    </row>
    <row r="122" spans="1:9" x14ac:dyDescent="0.2">
      <c r="A122" s="18" t="s">
        <v>226</v>
      </c>
      <c r="B122" s="380" t="s">
        <v>171</v>
      </c>
      <c r="C122" s="380" t="s">
        <v>240</v>
      </c>
      <c r="D122" s="390">
        <v>3.45E-6</v>
      </c>
      <c r="E122" s="391" t="s">
        <v>203</v>
      </c>
      <c r="F122" s="387">
        <v>0</v>
      </c>
      <c r="G122" s="390">
        <v>0</v>
      </c>
      <c r="H122" s="387">
        <v>0</v>
      </c>
      <c r="I122" s="390" t="s">
        <v>208</v>
      </c>
    </row>
    <row r="123" spans="1:9" x14ac:dyDescent="0.2">
      <c r="A123" s="18" t="s">
        <v>226</v>
      </c>
      <c r="B123" s="380" t="s">
        <v>172</v>
      </c>
      <c r="C123" s="380" t="s">
        <v>240</v>
      </c>
      <c r="D123" s="390">
        <v>3.2199999999999997E-6</v>
      </c>
      <c r="E123" s="391" t="s">
        <v>203</v>
      </c>
      <c r="F123" s="387">
        <v>0</v>
      </c>
      <c r="G123" s="390">
        <v>0</v>
      </c>
      <c r="H123" s="387">
        <v>0</v>
      </c>
      <c r="I123" s="390" t="s">
        <v>208</v>
      </c>
    </row>
    <row r="124" spans="1:9" x14ac:dyDescent="0.2">
      <c r="A124" s="18" t="s">
        <v>226</v>
      </c>
      <c r="B124" s="380" t="s">
        <v>173</v>
      </c>
      <c r="C124" s="380" t="s">
        <v>238</v>
      </c>
      <c r="D124" s="390">
        <v>8.6249999999999993E-2</v>
      </c>
      <c r="E124" s="391" t="s">
        <v>203</v>
      </c>
      <c r="F124" s="387">
        <v>0</v>
      </c>
      <c r="G124" s="390">
        <v>0</v>
      </c>
      <c r="H124" s="387">
        <v>0</v>
      </c>
      <c r="I124" s="390" t="s">
        <v>208</v>
      </c>
    </row>
    <row r="125" spans="1:9" x14ac:dyDescent="0.2">
      <c r="A125" s="18" t="s">
        <v>226</v>
      </c>
      <c r="B125" s="380" t="s">
        <v>174</v>
      </c>
      <c r="C125" s="380" t="s">
        <v>238</v>
      </c>
      <c r="D125" s="390">
        <v>2.0699999999999998</v>
      </c>
      <c r="E125" s="391" t="s">
        <v>203</v>
      </c>
      <c r="F125" s="387">
        <v>0</v>
      </c>
      <c r="G125" s="390">
        <v>0</v>
      </c>
      <c r="H125" s="387">
        <v>0</v>
      </c>
      <c r="I125" s="390" t="s">
        <v>208</v>
      </c>
    </row>
    <row r="126" spans="1:9" x14ac:dyDescent="0.2">
      <c r="A126" s="18" t="s">
        <v>226</v>
      </c>
      <c r="B126" s="380" t="s">
        <v>175</v>
      </c>
      <c r="C126" s="380" t="s">
        <v>240</v>
      </c>
      <c r="D126" s="390">
        <v>1.3339999999999999E-8</v>
      </c>
      <c r="E126" s="391" t="s">
        <v>203</v>
      </c>
      <c r="F126" s="387">
        <v>0</v>
      </c>
      <c r="G126" s="390">
        <v>0</v>
      </c>
      <c r="H126" s="387">
        <v>0</v>
      </c>
      <c r="I126" s="390" t="s">
        <v>208</v>
      </c>
    </row>
    <row r="127" spans="1:9" x14ac:dyDescent="0.2">
      <c r="A127" s="18" t="s">
        <v>226</v>
      </c>
      <c r="B127" s="380" t="s">
        <v>176</v>
      </c>
      <c r="C127" s="380" t="s">
        <v>240</v>
      </c>
      <c r="D127" s="390">
        <v>4.507999999999999E-6</v>
      </c>
      <c r="E127" s="391" t="s">
        <v>203</v>
      </c>
      <c r="F127" s="387">
        <v>0</v>
      </c>
      <c r="G127" s="390">
        <v>0</v>
      </c>
      <c r="H127" s="387">
        <v>0</v>
      </c>
      <c r="I127" s="390" t="s">
        <v>208</v>
      </c>
    </row>
    <row r="128" spans="1:9" x14ac:dyDescent="0.2">
      <c r="A128" s="18" t="s">
        <v>226</v>
      </c>
      <c r="B128" s="380" t="s">
        <v>177</v>
      </c>
      <c r="C128" s="380" t="s">
        <v>240</v>
      </c>
      <c r="D128" s="390">
        <v>1.2534999999999999E-7</v>
      </c>
      <c r="E128" s="391" t="s">
        <v>203</v>
      </c>
      <c r="F128" s="387">
        <v>0</v>
      </c>
      <c r="G128" s="390">
        <v>0</v>
      </c>
      <c r="H128" s="387">
        <v>0</v>
      </c>
      <c r="I128" s="390" t="s">
        <v>208</v>
      </c>
    </row>
    <row r="129" spans="1:9" x14ac:dyDescent="0.2">
      <c r="A129" s="18" t="s">
        <v>226</v>
      </c>
      <c r="B129" s="380" t="s">
        <v>178</v>
      </c>
      <c r="C129" s="380" t="s">
        <v>240</v>
      </c>
      <c r="D129" s="390">
        <v>3.6915000000000003E-8</v>
      </c>
      <c r="E129" s="391" t="s">
        <v>203</v>
      </c>
      <c r="F129" s="387">
        <v>0</v>
      </c>
      <c r="G129" s="390">
        <v>0</v>
      </c>
      <c r="H129" s="387">
        <v>0</v>
      </c>
      <c r="I129" s="390" t="s">
        <v>208</v>
      </c>
    </row>
    <row r="130" spans="1:9" x14ac:dyDescent="0.2">
      <c r="A130" s="18" t="s">
        <v>226</v>
      </c>
      <c r="B130" s="380" t="s">
        <v>179</v>
      </c>
      <c r="C130" s="380" t="s">
        <v>238</v>
      </c>
      <c r="D130" s="390">
        <v>2.5069999999999999E-5</v>
      </c>
      <c r="E130" s="391" t="s">
        <v>203</v>
      </c>
      <c r="F130" s="387">
        <v>0</v>
      </c>
      <c r="G130" s="390">
        <v>0</v>
      </c>
      <c r="H130" s="387">
        <v>0</v>
      </c>
      <c r="I130" s="390" t="s">
        <v>208</v>
      </c>
    </row>
    <row r="131" spans="1:9" x14ac:dyDescent="0.2">
      <c r="A131" s="18" t="s">
        <v>226</v>
      </c>
      <c r="B131" s="380" t="s">
        <v>153</v>
      </c>
      <c r="C131" s="380" t="s">
        <v>238</v>
      </c>
      <c r="D131" s="390">
        <v>4.5599999999999996</v>
      </c>
      <c r="E131" s="391" t="s">
        <v>203</v>
      </c>
      <c r="F131" s="387">
        <v>0</v>
      </c>
      <c r="G131" s="390">
        <v>0</v>
      </c>
      <c r="H131" s="387">
        <v>0</v>
      </c>
      <c r="I131" s="390" t="s">
        <v>253</v>
      </c>
    </row>
    <row r="132" spans="1:9" x14ac:dyDescent="0.2">
      <c r="A132" s="18" t="s">
        <v>226</v>
      </c>
      <c r="B132" s="380" t="s">
        <v>254</v>
      </c>
      <c r="C132" s="380" t="s">
        <v>238</v>
      </c>
      <c r="D132" s="390">
        <v>3.3000000000000002E-2</v>
      </c>
      <c r="E132" s="391" t="s">
        <v>203</v>
      </c>
      <c r="F132" s="387">
        <v>0</v>
      </c>
      <c r="G132" s="390">
        <v>0</v>
      </c>
      <c r="H132" s="387">
        <v>0</v>
      </c>
      <c r="I132" s="390" t="s">
        <v>253</v>
      </c>
    </row>
    <row r="133" spans="1:9" x14ac:dyDescent="0.2">
      <c r="A133" s="18" t="s">
        <v>226</v>
      </c>
      <c r="B133" s="380" t="s">
        <v>182</v>
      </c>
      <c r="C133" s="380" t="s">
        <v>238</v>
      </c>
      <c r="D133" s="390">
        <v>6.5000000000000002E-2</v>
      </c>
      <c r="E133" s="391" t="s">
        <v>203</v>
      </c>
      <c r="F133" s="387">
        <v>0</v>
      </c>
      <c r="G133" s="390">
        <v>0</v>
      </c>
      <c r="H133" s="387">
        <v>0</v>
      </c>
      <c r="I133" s="390" t="s">
        <v>253</v>
      </c>
    </row>
    <row r="134" spans="1:9" x14ac:dyDescent="0.2">
      <c r="A134" s="18" t="s">
        <v>226</v>
      </c>
      <c r="B134" s="380" t="s">
        <v>183</v>
      </c>
      <c r="C134" s="380" t="s">
        <v>238</v>
      </c>
      <c r="D134" s="390">
        <v>0.155</v>
      </c>
      <c r="E134" s="391" t="s">
        <v>203</v>
      </c>
      <c r="F134" s="387">
        <v>0</v>
      </c>
      <c r="G134" s="390">
        <v>0</v>
      </c>
      <c r="H134" s="387">
        <v>0</v>
      </c>
      <c r="I134" s="390" t="s">
        <v>209</v>
      </c>
    </row>
    <row r="135" spans="1:9" x14ac:dyDescent="0.2">
      <c r="A135" s="18" t="s">
        <v>226</v>
      </c>
      <c r="B135" s="380" t="s">
        <v>66</v>
      </c>
      <c r="C135" s="380" t="s">
        <v>237</v>
      </c>
      <c r="D135" s="390">
        <v>5.7499999999999999E-4</v>
      </c>
      <c r="E135" s="391" t="s">
        <v>203</v>
      </c>
      <c r="F135" s="387">
        <v>0</v>
      </c>
      <c r="G135" s="390">
        <v>0</v>
      </c>
      <c r="H135" s="387">
        <v>0</v>
      </c>
      <c r="I135" s="390" t="s">
        <v>204</v>
      </c>
    </row>
    <row r="136" spans="1:9" x14ac:dyDescent="0.2">
      <c r="A136" s="18" t="s">
        <v>226</v>
      </c>
      <c r="B136" s="380" t="s">
        <v>185</v>
      </c>
      <c r="C136" s="380" t="s">
        <v>237</v>
      </c>
      <c r="D136" s="390">
        <v>1.4719999999999998E-6</v>
      </c>
      <c r="E136" s="391" t="s">
        <v>203</v>
      </c>
      <c r="F136" s="387">
        <v>0</v>
      </c>
      <c r="G136" s="390">
        <v>0</v>
      </c>
      <c r="H136" s="387">
        <v>0</v>
      </c>
      <c r="I136" s="390" t="s">
        <v>210</v>
      </c>
    </row>
    <row r="137" spans="1:9" x14ac:dyDescent="0.2">
      <c r="A137" s="18" t="s">
        <v>226</v>
      </c>
      <c r="B137" s="380" t="s">
        <v>186</v>
      </c>
      <c r="C137" s="380" t="s">
        <v>237</v>
      </c>
      <c r="D137" s="390">
        <v>8.8549999999999996E-8</v>
      </c>
      <c r="E137" s="391" t="s">
        <v>203</v>
      </c>
      <c r="F137" s="387">
        <v>0</v>
      </c>
      <c r="G137" s="390">
        <v>0</v>
      </c>
      <c r="H137" s="387">
        <v>0</v>
      </c>
      <c r="I137" s="390" t="s">
        <v>210</v>
      </c>
    </row>
    <row r="138" spans="1:9" x14ac:dyDescent="0.2">
      <c r="A138" s="18" t="s">
        <v>226</v>
      </c>
      <c r="B138" s="380" t="s">
        <v>187</v>
      </c>
      <c r="C138" s="380" t="s">
        <v>237</v>
      </c>
      <c r="D138" s="390">
        <v>8.1189999999999997E-6</v>
      </c>
      <c r="E138" s="391" t="s">
        <v>203</v>
      </c>
      <c r="F138" s="387">
        <v>0</v>
      </c>
      <c r="G138" s="390">
        <v>0</v>
      </c>
      <c r="H138" s="387">
        <v>0</v>
      </c>
      <c r="I138" s="390" t="s">
        <v>210</v>
      </c>
    </row>
    <row r="139" spans="1:9" x14ac:dyDescent="0.2">
      <c r="A139" s="18" t="s">
        <v>226</v>
      </c>
      <c r="B139" s="380" t="s">
        <v>188</v>
      </c>
      <c r="C139" s="380" t="s">
        <v>237</v>
      </c>
      <c r="D139" s="390">
        <v>1.0338499999999999E-5</v>
      </c>
      <c r="E139" s="391" t="s">
        <v>203</v>
      </c>
      <c r="F139" s="387">
        <v>0</v>
      </c>
      <c r="G139" s="387">
        <v>0</v>
      </c>
      <c r="H139" s="387">
        <v>0</v>
      </c>
      <c r="I139" s="390" t="s">
        <v>210</v>
      </c>
    </row>
    <row r="140" spans="1:9" x14ac:dyDescent="0.2">
      <c r="A140" s="18" t="s">
        <v>226</v>
      </c>
      <c r="B140" s="380" t="s">
        <v>189</v>
      </c>
      <c r="C140" s="380" t="s">
        <v>237</v>
      </c>
      <c r="D140" s="390">
        <v>6.1984999999999998E-7</v>
      </c>
      <c r="E140" s="391" t="s">
        <v>203</v>
      </c>
      <c r="F140" s="387">
        <v>0</v>
      </c>
      <c r="G140" s="390">
        <v>0</v>
      </c>
      <c r="H140" s="387">
        <v>0</v>
      </c>
      <c r="I140" s="390" t="s">
        <v>210</v>
      </c>
    </row>
    <row r="141" spans="1:9" x14ac:dyDescent="0.2">
      <c r="A141" s="18" t="s">
        <v>226</v>
      </c>
      <c r="B141" s="380" t="s">
        <v>190</v>
      </c>
      <c r="C141" s="380" t="s">
        <v>237</v>
      </c>
      <c r="D141" s="390">
        <v>2.8059999999999999E-6</v>
      </c>
      <c r="E141" s="391" t="s">
        <v>203</v>
      </c>
      <c r="F141" s="387">
        <v>0</v>
      </c>
      <c r="G141" s="390">
        <v>0</v>
      </c>
      <c r="H141" s="387">
        <v>0</v>
      </c>
      <c r="I141" s="390" t="s">
        <v>210</v>
      </c>
    </row>
    <row r="142" spans="1:9" x14ac:dyDescent="0.2">
      <c r="A142" s="18" t="s">
        <v>226</v>
      </c>
      <c r="B142" s="380" t="s">
        <v>191</v>
      </c>
      <c r="C142" s="380" t="s">
        <v>239</v>
      </c>
      <c r="D142" s="390">
        <v>2.9899999999999995E-4</v>
      </c>
      <c r="E142" s="391" t="s">
        <v>203</v>
      </c>
      <c r="F142" s="387">
        <v>0</v>
      </c>
      <c r="G142" s="390">
        <v>0</v>
      </c>
      <c r="H142" s="387">
        <v>0</v>
      </c>
      <c r="I142" s="390" t="s">
        <v>210</v>
      </c>
    </row>
    <row r="143" spans="1:9" x14ac:dyDescent="0.2">
      <c r="A143" s="18" t="s">
        <v>226</v>
      </c>
      <c r="B143" s="380" t="s">
        <v>192</v>
      </c>
      <c r="C143" s="380" t="s">
        <v>237</v>
      </c>
      <c r="D143" s="390">
        <v>1.5524999999999998E-5</v>
      </c>
      <c r="E143" s="391" t="s">
        <v>203</v>
      </c>
      <c r="F143" s="387">
        <v>0</v>
      </c>
      <c r="G143" s="390">
        <v>0</v>
      </c>
      <c r="H143" s="387">
        <v>0</v>
      </c>
      <c r="I143" s="390" t="s">
        <v>210</v>
      </c>
    </row>
    <row r="144" spans="1:9" x14ac:dyDescent="0.2">
      <c r="A144" s="18" t="s">
        <v>226</v>
      </c>
      <c r="B144" s="380" t="s">
        <v>193</v>
      </c>
      <c r="C144" s="380" t="s">
        <v>237</v>
      </c>
      <c r="D144" s="390">
        <v>1.7709999999999999E-7</v>
      </c>
      <c r="E144" s="391" t="s">
        <v>203</v>
      </c>
      <c r="F144" s="387">
        <v>0</v>
      </c>
      <c r="G144" s="390">
        <v>0</v>
      </c>
      <c r="H144" s="387">
        <v>0</v>
      </c>
      <c r="I144" s="390" t="s">
        <v>210</v>
      </c>
    </row>
    <row r="145" spans="1:9" x14ac:dyDescent="0.2">
      <c r="B145" s="383" t="s">
        <v>259</v>
      </c>
      <c r="C145" s="384"/>
      <c r="D145" s="384"/>
      <c r="E145" s="384"/>
      <c r="F145" s="384"/>
      <c r="G145" s="384"/>
      <c r="H145" s="384"/>
      <c r="I145" s="385"/>
    </row>
    <row r="146" spans="1:9" x14ac:dyDescent="0.2">
      <c r="A146" s="18" t="s">
        <v>227</v>
      </c>
      <c r="B146" s="386" t="s">
        <v>156</v>
      </c>
      <c r="C146" s="386" t="s">
        <v>238</v>
      </c>
      <c r="D146" s="387">
        <v>2.76E-5</v>
      </c>
      <c r="E146" s="388" t="s">
        <v>203</v>
      </c>
      <c r="F146" s="387">
        <v>0</v>
      </c>
      <c r="G146" s="387">
        <v>0</v>
      </c>
      <c r="H146" s="387">
        <v>0</v>
      </c>
      <c r="I146" s="387" t="s">
        <v>208</v>
      </c>
    </row>
    <row r="147" spans="1:9" x14ac:dyDescent="0.2">
      <c r="A147" s="18" t="s">
        <v>227</v>
      </c>
      <c r="B147" s="380" t="s">
        <v>157</v>
      </c>
      <c r="C147" s="380" t="s">
        <v>238</v>
      </c>
      <c r="D147" s="390">
        <v>2.0699999999999997E-6</v>
      </c>
      <c r="E147" s="391" t="s">
        <v>203</v>
      </c>
      <c r="F147" s="387">
        <v>0</v>
      </c>
      <c r="G147" s="390">
        <v>0</v>
      </c>
      <c r="H147" s="387">
        <v>0</v>
      </c>
      <c r="I147" s="390" t="s">
        <v>208</v>
      </c>
    </row>
    <row r="148" spans="1:9" x14ac:dyDescent="0.2">
      <c r="A148" s="18" t="s">
        <v>227</v>
      </c>
      <c r="B148" s="380" t="s">
        <v>158</v>
      </c>
      <c r="C148" s="380" t="s">
        <v>238</v>
      </c>
      <c r="D148" s="390">
        <v>1.8399999999999997E-5</v>
      </c>
      <c r="E148" s="391" t="s">
        <v>203</v>
      </c>
      <c r="F148" s="387">
        <v>0</v>
      </c>
      <c r="G148" s="390">
        <v>0</v>
      </c>
      <c r="H148" s="387">
        <v>0</v>
      </c>
      <c r="I148" s="390" t="s">
        <v>208</v>
      </c>
    </row>
    <row r="149" spans="1:9" x14ac:dyDescent="0.2">
      <c r="A149" s="18" t="s">
        <v>227</v>
      </c>
      <c r="B149" s="380" t="s">
        <v>159</v>
      </c>
      <c r="C149" s="380" t="s">
        <v>238</v>
      </c>
      <c r="D149" s="390">
        <v>2.0699999999999997E-6</v>
      </c>
      <c r="E149" s="391" t="s">
        <v>203</v>
      </c>
      <c r="F149" s="387">
        <v>0</v>
      </c>
      <c r="G149" s="390">
        <v>0</v>
      </c>
      <c r="H149" s="387">
        <v>0</v>
      </c>
      <c r="I149" s="390" t="s">
        <v>208</v>
      </c>
    </row>
    <row r="150" spans="1:9" x14ac:dyDescent="0.2">
      <c r="A150" s="18" t="s">
        <v>227</v>
      </c>
      <c r="B150" s="380" t="s">
        <v>160</v>
      </c>
      <c r="C150" s="380" t="s">
        <v>238</v>
      </c>
      <c r="D150" s="390">
        <v>2.0699999999999997E-6</v>
      </c>
      <c r="E150" s="391" t="s">
        <v>203</v>
      </c>
      <c r="F150" s="387">
        <v>0</v>
      </c>
      <c r="G150" s="390">
        <v>0</v>
      </c>
      <c r="H150" s="387">
        <v>0</v>
      </c>
      <c r="I150" s="390" t="s">
        <v>208</v>
      </c>
    </row>
    <row r="151" spans="1:9" x14ac:dyDescent="0.2">
      <c r="A151" s="18" t="s">
        <v>227</v>
      </c>
      <c r="B151" s="380" t="s">
        <v>161</v>
      </c>
      <c r="C151" s="380" t="s">
        <v>238</v>
      </c>
      <c r="D151" s="390">
        <v>2.7599999999999998E-6</v>
      </c>
      <c r="E151" s="391" t="s">
        <v>203</v>
      </c>
      <c r="F151" s="387">
        <v>0</v>
      </c>
      <c r="G151" s="390">
        <v>0</v>
      </c>
      <c r="H151" s="387">
        <v>0</v>
      </c>
      <c r="I151" s="390" t="s">
        <v>208</v>
      </c>
    </row>
    <row r="152" spans="1:9" x14ac:dyDescent="0.2">
      <c r="A152" s="18" t="s">
        <v>227</v>
      </c>
      <c r="B152" s="380" t="s">
        <v>162</v>
      </c>
      <c r="C152" s="380" t="s">
        <v>240</v>
      </c>
      <c r="D152" s="390">
        <v>2.0699999999999997E-6</v>
      </c>
      <c r="E152" s="391" t="s">
        <v>203</v>
      </c>
      <c r="F152" s="387">
        <v>0</v>
      </c>
      <c r="G152" s="390">
        <v>0</v>
      </c>
      <c r="H152" s="387">
        <v>0</v>
      </c>
      <c r="I152" s="390" t="s">
        <v>208</v>
      </c>
    </row>
    <row r="153" spans="1:9" x14ac:dyDescent="0.2">
      <c r="A153" s="18" t="s">
        <v>227</v>
      </c>
      <c r="B153" s="380" t="s">
        <v>163</v>
      </c>
      <c r="C153" s="380" t="s">
        <v>238</v>
      </c>
      <c r="D153" s="390">
        <v>2.3E-2</v>
      </c>
      <c r="E153" s="391" t="s">
        <v>203</v>
      </c>
      <c r="F153" s="387">
        <v>0</v>
      </c>
      <c r="G153" s="390">
        <v>0</v>
      </c>
      <c r="H153" s="387">
        <v>0</v>
      </c>
      <c r="I153" s="390" t="s">
        <v>208</v>
      </c>
    </row>
    <row r="154" spans="1:9" x14ac:dyDescent="0.2">
      <c r="A154" s="18" t="s">
        <v>227</v>
      </c>
      <c r="B154" s="380" t="s">
        <v>164</v>
      </c>
      <c r="C154" s="380" t="s">
        <v>240</v>
      </c>
      <c r="D154" s="390">
        <v>1.3799999999999999E-6</v>
      </c>
      <c r="E154" s="391" t="s">
        <v>203</v>
      </c>
      <c r="F154" s="387">
        <v>0</v>
      </c>
      <c r="G154" s="390">
        <v>0</v>
      </c>
      <c r="H154" s="387">
        <v>0</v>
      </c>
      <c r="I154" s="390" t="s">
        <v>208</v>
      </c>
    </row>
    <row r="155" spans="1:9" x14ac:dyDescent="0.2">
      <c r="A155" s="18" t="s">
        <v>227</v>
      </c>
      <c r="B155" s="380" t="s">
        <v>165</v>
      </c>
      <c r="C155" s="380" t="s">
        <v>240</v>
      </c>
      <c r="D155" s="390">
        <v>2.0699999999999997E-6</v>
      </c>
      <c r="E155" s="391" t="s">
        <v>203</v>
      </c>
      <c r="F155" s="387">
        <v>0</v>
      </c>
      <c r="G155" s="390">
        <v>0</v>
      </c>
      <c r="H155" s="387">
        <v>0</v>
      </c>
      <c r="I155" s="390" t="s">
        <v>208</v>
      </c>
    </row>
    <row r="156" spans="1:9" x14ac:dyDescent="0.2">
      <c r="A156" s="18" t="s">
        <v>227</v>
      </c>
      <c r="B156" s="380" t="s">
        <v>166</v>
      </c>
      <c r="C156" s="380" t="s">
        <v>240</v>
      </c>
      <c r="D156" s="390">
        <v>1.3799999999999999E-6</v>
      </c>
      <c r="E156" s="391" t="s">
        <v>203</v>
      </c>
      <c r="F156" s="387">
        <v>0</v>
      </c>
      <c r="G156" s="390">
        <v>0</v>
      </c>
      <c r="H156" s="387">
        <v>0</v>
      </c>
      <c r="I156" s="390" t="s">
        <v>208</v>
      </c>
    </row>
    <row r="157" spans="1:9" x14ac:dyDescent="0.2">
      <c r="A157" s="18" t="s">
        <v>227</v>
      </c>
      <c r="B157" s="380" t="s">
        <v>167</v>
      </c>
      <c r="C157" s="380" t="s">
        <v>240</v>
      </c>
      <c r="D157" s="390">
        <v>2.0699999999999997E-6</v>
      </c>
      <c r="E157" s="391" t="s">
        <v>203</v>
      </c>
      <c r="F157" s="387">
        <v>0</v>
      </c>
      <c r="G157" s="390">
        <v>0</v>
      </c>
      <c r="H157" s="387">
        <v>0</v>
      </c>
      <c r="I157" s="390" t="s">
        <v>208</v>
      </c>
    </row>
    <row r="158" spans="1:9" x14ac:dyDescent="0.2">
      <c r="A158" s="18" t="s">
        <v>227</v>
      </c>
      <c r="B158" s="380" t="s">
        <v>168</v>
      </c>
      <c r="C158" s="380" t="s">
        <v>240</v>
      </c>
      <c r="D158" s="390">
        <v>2.0699999999999997E-6</v>
      </c>
      <c r="E158" s="391" t="s">
        <v>203</v>
      </c>
      <c r="F158" s="387">
        <v>0</v>
      </c>
      <c r="G158" s="390">
        <v>0</v>
      </c>
      <c r="H158" s="387">
        <v>0</v>
      </c>
      <c r="I158" s="390" t="s">
        <v>208</v>
      </c>
    </row>
    <row r="159" spans="1:9" x14ac:dyDescent="0.2">
      <c r="A159" s="18" t="s">
        <v>227</v>
      </c>
      <c r="B159" s="380" t="s">
        <v>169</v>
      </c>
      <c r="C159" s="380" t="s">
        <v>240</v>
      </c>
      <c r="D159" s="390">
        <v>1.3799999999999999E-6</v>
      </c>
      <c r="E159" s="391" t="s">
        <v>203</v>
      </c>
      <c r="F159" s="387">
        <v>0</v>
      </c>
      <c r="G159" s="390">
        <v>0</v>
      </c>
      <c r="H159" s="387">
        <v>0</v>
      </c>
      <c r="I159" s="390" t="s">
        <v>208</v>
      </c>
    </row>
    <row r="160" spans="1:9" x14ac:dyDescent="0.2">
      <c r="A160" s="18" t="s">
        <v>227</v>
      </c>
      <c r="B160" s="380" t="s">
        <v>170</v>
      </c>
      <c r="C160" s="380" t="s">
        <v>240</v>
      </c>
      <c r="D160" s="390">
        <v>1.3799999999999997E-3</v>
      </c>
      <c r="E160" s="391" t="s">
        <v>203</v>
      </c>
      <c r="F160" s="387">
        <v>0</v>
      </c>
      <c r="G160" s="390">
        <v>0</v>
      </c>
      <c r="H160" s="387">
        <v>0</v>
      </c>
      <c r="I160" s="390" t="s">
        <v>208</v>
      </c>
    </row>
    <row r="161" spans="1:9" x14ac:dyDescent="0.2">
      <c r="A161" s="18" t="s">
        <v>227</v>
      </c>
      <c r="B161" s="380" t="s">
        <v>171</v>
      </c>
      <c r="C161" s="380" t="s">
        <v>240</v>
      </c>
      <c r="D161" s="390">
        <v>3.45E-6</v>
      </c>
      <c r="E161" s="391" t="s">
        <v>203</v>
      </c>
      <c r="F161" s="387">
        <v>0</v>
      </c>
      <c r="G161" s="390">
        <v>0</v>
      </c>
      <c r="H161" s="387">
        <v>0</v>
      </c>
      <c r="I161" s="390" t="s">
        <v>208</v>
      </c>
    </row>
    <row r="162" spans="1:9" x14ac:dyDescent="0.2">
      <c r="A162" s="18" t="s">
        <v>227</v>
      </c>
      <c r="B162" s="380" t="s">
        <v>172</v>
      </c>
      <c r="C162" s="380" t="s">
        <v>240</v>
      </c>
      <c r="D162" s="390">
        <v>3.2199999999999997E-6</v>
      </c>
      <c r="E162" s="391" t="s">
        <v>203</v>
      </c>
      <c r="F162" s="387">
        <v>0</v>
      </c>
      <c r="G162" s="390">
        <v>0</v>
      </c>
      <c r="H162" s="387">
        <v>0</v>
      </c>
      <c r="I162" s="390" t="s">
        <v>208</v>
      </c>
    </row>
    <row r="163" spans="1:9" x14ac:dyDescent="0.2">
      <c r="A163" s="18" t="s">
        <v>227</v>
      </c>
      <c r="B163" s="380" t="s">
        <v>173</v>
      </c>
      <c r="C163" s="380" t="s">
        <v>238</v>
      </c>
      <c r="D163" s="390">
        <v>8.6249999999999993E-2</v>
      </c>
      <c r="E163" s="391" t="s">
        <v>203</v>
      </c>
      <c r="F163" s="387">
        <v>0</v>
      </c>
      <c r="G163" s="390">
        <v>0</v>
      </c>
      <c r="H163" s="387">
        <v>0</v>
      </c>
      <c r="I163" s="390" t="s">
        <v>208</v>
      </c>
    </row>
    <row r="164" spans="1:9" x14ac:dyDescent="0.2">
      <c r="A164" s="18" t="s">
        <v>227</v>
      </c>
      <c r="B164" s="380" t="s">
        <v>174</v>
      </c>
      <c r="C164" s="380" t="s">
        <v>238</v>
      </c>
      <c r="D164" s="390">
        <v>2.0699999999999998</v>
      </c>
      <c r="E164" s="391" t="s">
        <v>203</v>
      </c>
      <c r="F164" s="387">
        <v>0</v>
      </c>
      <c r="G164" s="390">
        <v>0</v>
      </c>
      <c r="H164" s="387">
        <v>0</v>
      </c>
      <c r="I164" s="390" t="s">
        <v>208</v>
      </c>
    </row>
    <row r="165" spans="1:9" x14ac:dyDescent="0.2">
      <c r="A165" s="18" t="s">
        <v>227</v>
      </c>
      <c r="B165" s="380" t="s">
        <v>175</v>
      </c>
      <c r="C165" s="380" t="s">
        <v>240</v>
      </c>
      <c r="D165" s="390">
        <v>1.3339999999999999E-8</v>
      </c>
      <c r="E165" s="391" t="s">
        <v>203</v>
      </c>
      <c r="F165" s="387">
        <v>0</v>
      </c>
      <c r="G165" s="390">
        <v>0</v>
      </c>
      <c r="H165" s="387">
        <v>0</v>
      </c>
      <c r="I165" s="390" t="s">
        <v>208</v>
      </c>
    </row>
    <row r="166" spans="1:9" x14ac:dyDescent="0.2">
      <c r="A166" s="18" t="s">
        <v>227</v>
      </c>
      <c r="B166" s="380" t="s">
        <v>176</v>
      </c>
      <c r="C166" s="380" t="s">
        <v>240</v>
      </c>
      <c r="D166" s="390">
        <v>4.507999999999999E-6</v>
      </c>
      <c r="E166" s="391" t="s">
        <v>203</v>
      </c>
      <c r="F166" s="387">
        <v>0</v>
      </c>
      <c r="G166" s="390">
        <v>0</v>
      </c>
      <c r="H166" s="387">
        <v>0</v>
      </c>
      <c r="I166" s="390" t="s">
        <v>208</v>
      </c>
    </row>
    <row r="167" spans="1:9" x14ac:dyDescent="0.2">
      <c r="A167" s="18" t="s">
        <v>227</v>
      </c>
      <c r="B167" s="380" t="s">
        <v>177</v>
      </c>
      <c r="C167" s="380" t="s">
        <v>240</v>
      </c>
      <c r="D167" s="390">
        <v>1.2534999999999999E-7</v>
      </c>
      <c r="E167" s="391" t="s">
        <v>203</v>
      </c>
      <c r="F167" s="387">
        <v>0</v>
      </c>
      <c r="G167" s="390">
        <v>0</v>
      </c>
      <c r="H167" s="387">
        <v>0</v>
      </c>
      <c r="I167" s="390" t="s">
        <v>208</v>
      </c>
    </row>
    <row r="168" spans="1:9" x14ac:dyDescent="0.2">
      <c r="A168" s="18" t="s">
        <v>227</v>
      </c>
      <c r="B168" s="380" t="s">
        <v>178</v>
      </c>
      <c r="C168" s="380" t="s">
        <v>240</v>
      </c>
      <c r="D168" s="390">
        <v>3.6915000000000003E-8</v>
      </c>
      <c r="E168" s="391" t="s">
        <v>203</v>
      </c>
      <c r="F168" s="387">
        <v>0</v>
      </c>
      <c r="G168" s="390">
        <v>0</v>
      </c>
      <c r="H168" s="387">
        <v>0</v>
      </c>
      <c r="I168" s="390" t="s">
        <v>208</v>
      </c>
    </row>
    <row r="169" spans="1:9" x14ac:dyDescent="0.2">
      <c r="A169" s="18" t="s">
        <v>227</v>
      </c>
      <c r="B169" s="380" t="s">
        <v>179</v>
      </c>
      <c r="C169" s="380" t="s">
        <v>238</v>
      </c>
      <c r="D169" s="390">
        <v>2.5069999999999999E-5</v>
      </c>
      <c r="E169" s="391" t="s">
        <v>203</v>
      </c>
      <c r="F169" s="387">
        <v>0</v>
      </c>
      <c r="G169" s="390">
        <v>0</v>
      </c>
      <c r="H169" s="387">
        <v>0</v>
      </c>
      <c r="I169" s="390" t="s">
        <v>208</v>
      </c>
    </row>
    <row r="170" spans="1:9" x14ac:dyDescent="0.2">
      <c r="A170" s="18" t="s">
        <v>227</v>
      </c>
      <c r="B170" s="380" t="s">
        <v>153</v>
      </c>
      <c r="C170" s="380" t="s">
        <v>238</v>
      </c>
      <c r="D170" s="390">
        <v>4.5599999999999996</v>
      </c>
      <c r="E170" s="391" t="s">
        <v>203</v>
      </c>
      <c r="F170" s="387">
        <v>0</v>
      </c>
      <c r="G170" s="390">
        <v>0</v>
      </c>
      <c r="H170" s="387">
        <v>0</v>
      </c>
      <c r="I170" s="390" t="s">
        <v>253</v>
      </c>
    </row>
    <row r="171" spans="1:9" x14ac:dyDescent="0.2">
      <c r="A171" s="18" t="s">
        <v>227</v>
      </c>
      <c r="B171" s="380" t="s">
        <v>254</v>
      </c>
      <c r="C171" s="380" t="s">
        <v>238</v>
      </c>
      <c r="D171" s="390">
        <v>3.3000000000000002E-2</v>
      </c>
      <c r="E171" s="391" t="s">
        <v>203</v>
      </c>
      <c r="F171" s="387">
        <v>0</v>
      </c>
      <c r="G171" s="390">
        <v>0</v>
      </c>
      <c r="H171" s="387">
        <v>0</v>
      </c>
      <c r="I171" s="390" t="s">
        <v>253</v>
      </c>
    </row>
    <row r="172" spans="1:9" x14ac:dyDescent="0.2">
      <c r="A172" s="18" t="s">
        <v>227</v>
      </c>
      <c r="B172" s="380" t="s">
        <v>182</v>
      </c>
      <c r="C172" s="380" t="s">
        <v>238</v>
      </c>
      <c r="D172" s="390">
        <v>6.5000000000000002E-2</v>
      </c>
      <c r="E172" s="391" t="s">
        <v>203</v>
      </c>
      <c r="F172" s="387">
        <v>0</v>
      </c>
      <c r="G172" s="390">
        <v>0</v>
      </c>
      <c r="H172" s="387">
        <v>0</v>
      </c>
      <c r="I172" s="390" t="s">
        <v>253</v>
      </c>
    </row>
    <row r="173" spans="1:9" x14ac:dyDescent="0.2">
      <c r="A173" s="18" t="s">
        <v>227</v>
      </c>
      <c r="B173" s="380" t="s">
        <v>183</v>
      </c>
      <c r="C173" s="380" t="s">
        <v>238</v>
      </c>
      <c r="D173" s="390">
        <v>0.155</v>
      </c>
      <c r="E173" s="391" t="s">
        <v>203</v>
      </c>
      <c r="F173" s="387">
        <v>0</v>
      </c>
      <c r="G173" s="390">
        <v>0</v>
      </c>
      <c r="H173" s="387">
        <v>0</v>
      </c>
      <c r="I173" s="390" t="s">
        <v>209</v>
      </c>
    </row>
    <row r="174" spans="1:9" x14ac:dyDescent="0.2">
      <c r="A174" s="18" t="s">
        <v>227</v>
      </c>
      <c r="B174" s="380" t="s">
        <v>66</v>
      </c>
      <c r="C174" s="380" t="s">
        <v>237</v>
      </c>
      <c r="D174" s="390">
        <v>5.7499999999999999E-4</v>
      </c>
      <c r="E174" s="391" t="s">
        <v>203</v>
      </c>
      <c r="F174" s="387">
        <v>0</v>
      </c>
      <c r="G174" s="390">
        <v>0</v>
      </c>
      <c r="H174" s="387">
        <v>0</v>
      </c>
      <c r="I174" s="390" t="s">
        <v>204</v>
      </c>
    </row>
    <row r="175" spans="1:9" x14ac:dyDescent="0.2">
      <c r="A175" s="18" t="s">
        <v>227</v>
      </c>
      <c r="B175" s="380" t="s">
        <v>185</v>
      </c>
      <c r="C175" s="380" t="s">
        <v>237</v>
      </c>
      <c r="D175" s="390">
        <v>1.4719999999999998E-6</v>
      </c>
      <c r="E175" s="391" t="s">
        <v>203</v>
      </c>
      <c r="F175" s="387">
        <v>0</v>
      </c>
      <c r="G175" s="390">
        <v>0</v>
      </c>
      <c r="H175" s="387">
        <v>0</v>
      </c>
      <c r="I175" s="390" t="s">
        <v>210</v>
      </c>
    </row>
    <row r="176" spans="1:9" x14ac:dyDescent="0.2">
      <c r="A176" s="18" t="s">
        <v>227</v>
      </c>
      <c r="B176" s="380" t="s">
        <v>186</v>
      </c>
      <c r="C176" s="380" t="s">
        <v>237</v>
      </c>
      <c r="D176" s="390">
        <v>8.8549999999999996E-8</v>
      </c>
      <c r="E176" s="391" t="s">
        <v>203</v>
      </c>
      <c r="F176" s="387">
        <v>0</v>
      </c>
      <c r="G176" s="390">
        <v>0</v>
      </c>
      <c r="H176" s="387">
        <v>0</v>
      </c>
      <c r="I176" s="390" t="s">
        <v>210</v>
      </c>
    </row>
    <row r="177" spans="1:9" x14ac:dyDescent="0.2">
      <c r="A177" s="18" t="s">
        <v>227</v>
      </c>
      <c r="B177" s="380" t="s">
        <v>187</v>
      </c>
      <c r="C177" s="380" t="s">
        <v>237</v>
      </c>
      <c r="D177" s="390">
        <v>8.1189999999999997E-6</v>
      </c>
      <c r="E177" s="391" t="s">
        <v>203</v>
      </c>
      <c r="F177" s="387">
        <v>0</v>
      </c>
      <c r="G177" s="390">
        <v>0</v>
      </c>
      <c r="H177" s="387">
        <v>0</v>
      </c>
      <c r="I177" s="390" t="s">
        <v>210</v>
      </c>
    </row>
    <row r="178" spans="1:9" x14ac:dyDescent="0.2">
      <c r="A178" s="18" t="s">
        <v>227</v>
      </c>
      <c r="B178" s="380" t="s">
        <v>188</v>
      </c>
      <c r="C178" s="380" t="s">
        <v>237</v>
      </c>
      <c r="D178" s="390">
        <v>1.0338499999999999E-5</v>
      </c>
      <c r="E178" s="391" t="s">
        <v>203</v>
      </c>
      <c r="F178" s="387">
        <v>0</v>
      </c>
      <c r="G178" s="387">
        <v>0</v>
      </c>
      <c r="H178" s="387">
        <v>0</v>
      </c>
      <c r="I178" s="390" t="s">
        <v>210</v>
      </c>
    </row>
    <row r="179" spans="1:9" x14ac:dyDescent="0.2">
      <c r="A179" s="18" t="s">
        <v>227</v>
      </c>
      <c r="B179" s="380" t="s">
        <v>189</v>
      </c>
      <c r="C179" s="380" t="s">
        <v>237</v>
      </c>
      <c r="D179" s="390">
        <v>6.1984999999999998E-7</v>
      </c>
      <c r="E179" s="391" t="s">
        <v>203</v>
      </c>
      <c r="F179" s="387">
        <v>0</v>
      </c>
      <c r="G179" s="390">
        <v>0</v>
      </c>
      <c r="H179" s="387">
        <v>0</v>
      </c>
      <c r="I179" s="390" t="s">
        <v>210</v>
      </c>
    </row>
    <row r="180" spans="1:9" x14ac:dyDescent="0.2">
      <c r="A180" s="18" t="s">
        <v>227</v>
      </c>
      <c r="B180" s="380" t="s">
        <v>190</v>
      </c>
      <c r="C180" s="380" t="s">
        <v>237</v>
      </c>
      <c r="D180" s="390">
        <v>2.8059999999999999E-6</v>
      </c>
      <c r="E180" s="391" t="s">
        <v>203</v>
      </c>
      <c r="F180" s="387">
        <v>0</v>
      </c>
      <c r="G180" s="390">
        <v>0</v>
      </c>
      <c r="H180" s="387">
        <v>0</v>
      </c>
      <c r="I180" s="390" t="s">
        <v>210</v>
      </c>
    </row>
    <row r="181" spans="1:9" x14ac:dyDescent="0.2">
      <c r="A181" s="18" t="s">
        <v>227</v>
      </c>
      <c r="B181" s="380" t="s">
        <v>191</v>
      </c>
      <c r="C181" s="380" t="s">
        <v>239</v>
      </c>
      <c r="D181" s="390">
        <v>2.9899999999999995E-4</v>
      </c>
      <c r="E181" s="391" t="s">
        <v>203</v>
      </c>
      <c r="F181" s="387">
        <v>0</v>
      </c>
      <c r="G181" s="390">
        <v>0</v>
      </c>
      <c r="H181" s="387">
        <v>0</v>
      </c>
      <c r="I181" s="390" t="s">
        <v>210</v>
      </c>
    </row>
    <row r="182" spans="1:9" x14ac:dyDescent="0.2">
      <c r="A182" s="18" t="s">
        <v>227</v>
      </c>
      <c r="B182" s="380" t="s">
        <v>192</v>
      </c>
      <c r="C182" s="380" t="s">
        <v>237</v>
      </c>
      <c r="D182" s="390">
        <v>1.5524999999999998E-5</v>
      </c>
      <c r="E182" s="391" t="s">
        <v>203</v>
      </c>
      <c r="F182" s="387">
        <v>0</v>
      </c>
      <c r="G182" s="390">
        <v>0</v>
      </c>
      <c r="H182" s="387">
        <v>0</v>
      </c>
      <c r="I182" s="390" t="s">
        <v>210</v>
      </c>
    </row>
    <row r="183" spans="1:9" x14ac:dyDescent="0.2">
      <c r="A183" s="18" t="s">
        <v>227</v>
      </c>
      <c r="B183" s="380" t="s">
        <v>193</v>
      </c>
      <c r="C183" s="380" t="s">
        <v>237</v>
      </c>
      <c r="D183" s="390">
        <v>1.7709999999999999E-7</v>
      </c>
      <c r="E183" s="391" t="s">
        <v>203</v>
      </c>
      <c r="F183" s="387">
        <v>0</v>
      </c>
      <c r="G183" s="390">
        <v>0</v>
      </c>
      <c r="H183" s="387">
        <v>0</v>
      </c>
      <c r="I183" s="390" t="s">
        <v>210</v>
      </c>
    </row>
    <row r="184" spans="1:9" x14ac:dyDescent="0.2">
      <c r="B184" s="383" t="s">
        <v>260</v>
      </c>
      <c r="C184" s="384"/>
      <c r="D184" s="384"/>
      <c r="E184" s="384"/>
      <c r="F184" s="384"/>
      <c r="G184" s="384"/>
      <c r="H184" s="384"/>
      <c r="I184" s="385"/>
    </row>
    <row r="185" spans="1:9" x14ac:dyDescent="0.2">
      <c r="A185" s="18" t="s">
        <v>228</v>
      </c>
      <c r="B185" s="386" t="s">
        <v>156</v>
      </c>
      <c r="C185" s="386" t="s">
        <v>238</v>
      </c>
      <c r="D185" s="387">
        <v>2.76E-5</v>
      </c>
      <c r="E185" s="388" t="s">
        <v>203</v>
      </c>
      <c r="F185" s="387">
        <f>_xlfn.XLOOKUP($B185,'NEW Boiler 5 PTE (B005)'!$B$24:$B$84,'NEW Boiler 5 PTE (B005)'!$C$24:$C$84)</f>
        <v>2.5227055851810269E-6</v>
      </c>
      <c r="G185" s="387">
        <f>H185*2000</f>
        <v>5.9388156048273922E-3</v>
      </c>
      <c r="H185" s="387">
        <f>_xlfn.XLOOKUP($B185,'NEW Boiler 5 PTE (B005)'!$B$24:$B$84,'NEW Boiler 5 PTE (B005)'!$D$24:$D$84)</f>
        <v>2.969407802413696E-6</v>
      </c>
      <c r="I185" s="387" t="s">
        <v>208</v>
      </c>
    </row>
    <row r="186" spans="1:9" x14ac:dyDescent="0.2">
      <c r="A186" s="18" t="s">
        <v>228</v>
      </c>
      <c r="B186" s="380" t="s">
        <v>157</v>
      </c>
      <c r="C186" s="380" t="s">
        <v>238</v>
      </c>
      <c r="D186" s="390">
        <v>2.0699999999999997E-6</v>
      </c>
      <c r="E186" s="391" t="s">
        <v>203</v>
      </c>
      <c r="F186" s="387">
        <f>_xlfn.XLOOKUP($B186,'NEW Boiler 5 PTE (B005)'!$B$24:$B$84,'NEW Boiler 5 PTE (B005)'!$C$24:$C$84)</f>
        <v>1.89202918888577E-7</v>
      </c>
      <c r="G186" s="390">
        <f t="shared" ref="G186" si="7">H186*2000</f>
        <v>4.4541117036205437E-4</v>
      </c>
      <c r="H186" s="387">
        <f>_xlfn.XLOOKUP($B186,'NEW Boiler 5 PTE (B005)'!$B$24:$B$84,'NEW Boiler 5 PTE (B005)'!$D$24:$D$84)</f>
        <v>2.2270558518102718E-7</v>
      </c>
      <c r="I186" s="390" t="s">
        <v>208</v>
      </c>
    </row>
    <row r="187" spans="1:9" x14ac:dyDescent="0.2">
      <c r="A187" s="18" t="s">
        <v>228</v>
      </c>
      <c r="B187" s="380" t="s">
        <v>158</v>
      </c>
      <c r="C187" s="380" t="s">
        <v>238</v>
      </c>
      <c r="D187" s="390">
        <v>1.8399999999999997E-5</v>
      </c>
      <c r="E187" s="391" t="s">
        <v>203</v>
      </c>
      <c r="F187" s="387">
        <f>_xlfn.XLOOKUP($B187,'NEW Boiler 5 PTE (B005)'!$B$24:$B$84,'NEW Boiler 5 PTE (B005)'!$C$24:$C$84)</f>
        <v>1.6818037234540177E-6</v>
      </c>
      <c r="G187" s="390">
        <f>H187*2000</f>
        <v>3.9592104032182612E-3</v>
      </c>
      <c r="H187" s="387">
        <f>_xlfn.XLOOKUP($B187,'NEW Boiler 5 PTE (B005)'!$B$24:$B$84,'NEW Boiler 5 PTE (B005)'!$D$24:$D$84)</f>
        <v>1.9796052016091304E-6</v>
      </c>
      <c r="I187" s="390" t="s">
        <v>208</v>
      </c>
    </row>
    <row r="188" spans="1:9" x14ac:dyDescent="0.2">
      <c r="A188" s="18" t="s">
        <v>228</v>
      </c>
      <c r="B188" s="380" t="s">
        <v>159</v>
      </c>
      <c r="C188" s="380" t="s">
        <v>238</v>
      </c>
      <c r="D188" s="390">
        <v>2.0699999999999997E-6</v>
      </c>
      <c r="E188" s="391" t="s">
        <v>203</v>
      </c>
      <c r="F188" s="387">
        <f>_xlfn.XLOOKUP($B188,'NEW Boiler 5 PTE (B005)'!$B$24:$B$84,'NEW Boiler 5 PTE (B005)'!$C$24:$C$84)</f>
        <v>1.89202918888577E-7</v>
      </c>
      <c r="G188" s="390">
        <f t="shared" ref="G188:G222" si="8">H188*2000</f>
        <v>4.4541117036205437E-4</v>
      </c>
      <c r="H188" s="387">
        <f>_xlfn.XLOOKUP($B188,'NEW Boiler 5 PTE (B005)'!$B$24:$B$84,'NEW Boiler 5 PTE (B005)'!$D$24:$D$84)</f>
        <v>2.2270558518102718E-7</v>
      </c>
      <c r="I188" s="390" t="s">
        <v>208</v>
      </c>
    </row>
    <row r="189" spans="1:9" x14ac:dyDescent="0.2">
      <c r="A189" s="18" t="s">
        <v>228</v>
      </c>
      <c r="B189" s="380" t="s">
        <v>160</v>
      </c>
      <c r="C189" s="380" t="s">
        <v>238</v>
      </c>
      <c r="D189" s="390">
        <v>2.0699999999999997E-6</v>
      </c>
      <c r="E189" s="391" t="s">
        <v>203</v>
      </c>
      <c r="F189" s="387">
        <f>_xlfn.XLOOKUP($B189,'NEW Boiler 5 PTE (B005)'!$B$24:$B$84,'NEW Boiler 5 PTE (B005)'!$C$24:$C$84)</f>
        <v>1.89202918888577E-7</v>
      </c>
      <c r="G189" s="390">
        <f t="shared" si="8"/>
        <v>4.4541117036205437E-4</v>
      </c>
      <c r="H189" s="387">
        <f>_xlfn.XLOOKUP($B189,'NEW Boiler 5 PTE (B005)'!$B$24:$B$84,'NEW Boiler 5 PTE (B005)'!$D$24:$D$84)</f>
        <v>2.2270558518102718E-7</v>
      </c>
      <c r="I189" s="390" t="s">
        <v>208</v>
      </c>
    </row>
    <row r="190" spans="1:9" x14ac:dyDescent="0.2">
      <c r="A190" s="18" t="s">
        <v>228</v>
      </c>
      <c r="B190" s="380" t="s">
        <v>161</v>
      </c>
      <c r="C190" s="380" t="s">
        <v>238</v>
      </c>
      <c r="D190" s="390">
        <v>2.7599999999999998E-6</v>
      </c>
      <c r="E190" s="391" t="s">
        <v>203</v>
      </c>
      <c r="F190" s="387">
        <f>_xlfn.XLOOKUP($B190,'NEW Boiler 5 PTE (B005)'!$B$24:$B$84,'NEW Boiler 5 PTE (B005)'!$C$24:$C$84)</f>
        <v>2.5227055851810267E-7</v>
      </c>
      <c r="G190" s="390">
        <f t="shared" si="8"/>
        <v>5.938815604827392E-4</v>
      </c>
      <c r="H190" s="387">
        <f>_xlfn.XLOOKUP($B190,'NEW Boiler 5 PTE (B005)'!$B$24:$B$84,'NEW Boiler 5 PTE (B005)'!$D$24:$D$84)</f>
        <v>2.9694078024136959E-7</v>
      </c>
      <c r="I190" s="390" t="s">
        <v>208</v>
      </c>
    </row>
    <row r="191" spans="1:9" x14ac:dyDescent="0.2">
      <c r="A191" s="18" t="s">
        <v>228</v>
      </c>
      <c r="B191" s="380" t="s">
        <v>162</v>
      </c>
      <c r="C191" s="380" t="s">
        <v>240</v>
      </c>
      <c r="D191" s="390">
        <v>2.0699999999999997E-6</v>
      </c>
      <c r="E191" s="391" t="s">
        <v>203</v>
      </c>
      <c r="F191" s="387">
        <f>_xlfn.XLOOKUP($B191,'NEW Boiler 5 PTE (B005)'!$B$24:$B$84,'NEW Boiler 5 PTE (B005)'!$C$24:$C$84)</f>
        <v>1.89202918888577E-7</v>
      </c>
      <c r="G191" s="390">
        <f t="shared" si="8"/>
        <v>4.4541117036205437E-4</v>
      </c>
      <c r="H191" s="387">
        <f>_xlfn.XLOOKUP($B191,'NEW Boiler 5 PTE (B005)'!$B$24:$B$84,'NEW Boiler 5 PTE (B005)'!$D$24:$D$84)</f>
        <v>2.2270558518102718E-7</v>
      </c>
      <c r="I191" s="390" t="s">
        <v>208</v>
      </c>
    </row>
    <row r="192" spans="1:9" x14ac:dyDescent="0.2">
      <c r="A192" s="18" t="s">
        <v>228</v>
      </c>
      <c r="B192" s="380" t="s">
        <v>163</v>
      </c>
      <c r="C192" s="380" t="s">
        <v>238</v>
      </c>
      <c r="D192" s="390">
        <v>2.3E-2</v>
      </c>
      <c r="E192" s="391" t="s">
        <v>203</v>
      </c>
      <c r="F192" s="387">
        <f>_xlfn.XLOOKUP($B192,'NEW Boiler 5 PTE (B005)'!$B$24:$B$84,'NEW Boiler 5 PTE (B005)'!$C$24:$C$84)</f>
        <v>4.3914402970490519E-3</v>
      </c>
      <c r="G192" s="390">
        <f t="shared" si="8"/>
        <v>28.612278767220324</v>
      </c>
      <c r="H192" s="387">
        <f>_xlfn.XLOOKUP($B192,'NEW Boiler 5 PTE (B005)'!$B$24:$B$84,'NEW Boiler 5 PTE (B005)'!$D$24:$D$84)</f>
        <v>1.4306139383610162E-2</v>
      </c>
      <c r="I192" s="390" t="s">
        <v>208</v>
      </c>
    </row>
    <row r="193" spans="1:9" x14ac:dyDescent="0.2">
      <c r="A193" s="18" t="s">
        <v>228</v>
      </c>
      <c r="B193" s="380" t="s">
        <v>164</v>
      </c>
      <c r="C193" s="380" t="s">
        <v>240</v>
      </c>
      <c r="D193" s="390">
        <v>1.3799999999999999E-6</v>
      </c>
      <c r="E193" s="391" t="s">
        <v>203</v>
      </c>
      <c r="F193" s="387">
        <f>_xlfn.XLOOKUP($B193,'NEW Boiler 5 PTE (B005)'!$B$24:$B$84,'NEW Boiler 5 PTE (B005)'!$C$24:$C$84)</f>
        <v>1.2613527925905133E-7</v>
      </c>
      <c r="G193" s="390">
        <f t="shared" si="8"/>
        <v>2.969407802413696E-4</v>
      </c>
      <c r="H193" s="387">
        <f>_xlfn.XLOOKUP($B193,'NEW Boiler 5 PTE (B005)'!$B$24:$B$84,'NEW Boiler 5 PTE (B005)'!$D$24:$D$84)</f>
        <v>1.484703901206848E-7</v>
      </c>
      <c r="I193" s="390" t="s">
        <v>208</v>
      </c>
    </row>
    <row r="194" spans="1:9" x14ac:dyDescent="0.2">
      <c r="A194" s="18" t="s">
        <v>228</v>
      </c>
      <c r="B194" s="380" t="s">
        <v>165</v>
      </c>
      <c r="C194" s="380" t="s">
        <v>240</v>
      </c>
      <c r="D194" s="390">
        <v>2.0699999999999997E-6</v>
      </c>
      <c r="E194" s="391" t="s">
        <v>203</v>
      </c>
      <c r="F194" s="387">
        <f>_xlfn.XLOOKUP($B194,'NEW Boiler 5 PTE (B005)'!$B$24:$B$84,'NEW Boiler 5 PTE (B005)'!$C$24:$C$84)</f>
        <v>1.89202918888577E-7</v>
      </c>
      <c r="G194" s="390">
        <f t="shared" si="8"/>
        <v>4.4541117036205437E-4</v>
      </c>
      <c r="H194" s="387">
        <f>_xlfn.XLOOKUP($B194,'NEW Boiler 5 PTE (B005)'!$B$24:$B$84,'NEW Boiler 5 PTE (B005)'!$D$24:$D$84)</f>
        <v>2.2270558518102718E-7</v>
      </c>
      <c r="I194" s="390" t="s">
        <v>208</v>
      </c>
    </row>
    <row r="195" spans="1:9" x14ac:dyDescent="0.2">
      <c r="A195" s="18" t="s">
        <v>228</v>
      </c>
      <c r="B195" s="380" t="s">
        <v>166</v>
      </c>
      <c r="C195" s="380" t="s">
        <v>240</v>
      </c>
      <c r="D195" s="390">
        <v>1.3799999999999999E-6</v>
      </c>
      <c r="E195" s="391" t="s">
        <v>203</v>
      </c>
      <c r="F195" s="387">
        <f>_xlfn.XLOOKUP($B195,'NEW Boiler 5 PTE (B005)'!$B$24:$B$84,'NEW Boiler 5 PTE (B005)'!$C$24:$C$84)</f>
        <v>1.2613527925905133E-7</v>
      </c>
      <c r="G195" s="390">
        <f t="shared" si="8"/>
        <v>2.969407802413696E-4</v>
      </c>
      <c r="H195" s="387">
        <f>_xlfn.XLOOKUP($B195,'NEW Boiler 5 PTE (B005)'!$B$24:$B$84,'NEW Boiler 5 PTE (B005)'!$D$24:$D$84)</f>
        <v>1.484703901206848E-7</v>
      </c>
      <c r="I195" s="390" t="s">
        <v>208</v>
      </c>
    </row>
    <row r="196" spans="1:9" x14ac:dyDescent="0.2">
      <c r="A196" s="18" t="s">
        <v>228</v>
      </c>
      <c r="B196" s="380" t="s">
        <v>167</v>
      </c>
      <c r="C196" s="380" t="s">
        <v>240</v>
      </c>
      <c r="D196" s="390">
        <v>2.0699999999999997E-6</v>
      </c>
      <c r="E196" s="391" t="s">
        <v>203</v>
      </c>
      <c r="F196" s="387">
        <f>_xlfn.XLOOKUP($B196,'NEW Boiler 5 PTE (B005)'!$B$24:$B$84,'NEW Boiler 5 PTE (B005)'!$C$24:$C$84)</f>
        <v>1.89202918888577E-7</v>
      </c>
      <c r="G196" s="390">
        <f t="shared" si="8"/>
        <v>4.4541117036205437E-4</v>
      </c>
      <c r="H196" s="387">
        <f>_xlfn.XLOOKUP($B196,'NEW Boiler 5 PTE (B005)'!$B$24:$B$84,'NEW Boiler 5 PTE (B005)'!$D$24:$D$84)</f>
        <v>2.2270558518102718E-7</v>
      </c>
      <c r="I196" s="390" t="s">
        <v>208</v>
      </c>
    </row>
    <row r="197" spans="1:9" x14ac:dyDescent="0.2">
      <c r="A197" s="18" t="s">
        <v>228</v>
      </c>
      <c r="B197" s="380" t="s">
        <v>168</v>
      </c>
      <c r="C197" s="380" t="s">
        <v>240</v>
      </c>
      <c r="D197" s="390">
        <v>2.0699999999999997E-6</v>
      </c>
      <c r="E197" s="391" t="s">
        <v>203</v>
      </c>
      <c r="F197" s="387">
        <f>_xlfn.XLOOKUP($B197,'NEW Boiler 5 PTE (B005)'!$B$24:$B$84,'NEW Boiler 5 PTE (B005)'!$C$24:$C$84)</f>
        <v>1.89202918888577E-7</v>
      </c>
      <c r="G197" s="390">
        <f t="shared" si="8"/>
        <v>4.4541117036205437E-4</v>
      </c>
      <c r="H197" s="387">
        <f>_xlfn.XLOOKUP($B197,'NEW Boiler 5 PTE (B005)'!$B$24:$B$84,'NEW Boiler 5 PTE (B005)'!$D$24:$D$84)</f>
        <v>2.2270558518102718E-7</v>
      </c>
      <c r="I197" s="390" t="s">
        <v>208</v>
      </c>
    </row>
    <row r="198" spans="1:9" x14ac:dyDescent="0.2">
      <c r="A198" s="18" t="s">
        <v>228</v>
      </c>
      <c r="B198" s="380" t="s">
        <v>169</v>
      </c>
      <c r="C198" s="380" t="s">
        <v>240</v>
      </c>
      <c r="D198" s="390">
        <v>1.3799999999999999E-6</v>
      </c>
      <c r="E198" s="391" t="s">
        <v>203</v>
      </c>
      <c r="F198" s="387">
        <f>_xlfn.XLOOKUP($B198,'NEW Boiler 5 PTE (B005)'!$B$24:$B$84,'NEW Boiler 5 PTE (B005)'!$C$24:$C$84)</f>
        <v>1.2613527925905133E-7</v>
      </c>
      <c r="G198" s="390">
        <f t="shared" si="8"/>
        <v>2.969407802413696E-4</v>
      </c>
      <c r="H198" s="387">
        <f>_xlfn.XLOOKUP($B198,'NEW Boiler 5 PTE (B005)'!$B$24:$B$84,'NEW Boiler 5 PTE (B005)'!$D$24:$D$84)</f>
        <v>1.484703901206848E-7</v>
      </c>
      <c r="I198" s="390" t="s">
        <v>208</v>
      </c>
    </row>
    <row r="199" spans="1:9" x14ac:dyDescent="0.2">
      <c r="A199" s="18" t="s">
        <v>228</v>
      </c>
      <c r="B199" s="380" t="s">
        <v>170</v>
      </c>
      <c r="C199" s="380" t="s">
        <v>240</v>
      </c>
      <c r="D199" s="390">
        <v>1.3799999999999997E-3</v>
      </c>
      <c r="E199" s="391" t="s">
        <v>203</v>
      </c>
      <c r="F199" s="387">
        <f>_xlfn.XLOOKUP($B199,'NEW Boiler 5 PTE (B005)'!$B$24:$B$84,'NEW Boiler 5 PTE (B005)'!$C$24:$C$84)</f>
        <v>1.2613527925905131E-4</v>
      </c>
      <c r="G199" s="390">
        <f t="shared" si="8"/>
        <v>0.29694078024136955</v>
      </c>
      <c r="H199" s="387">
        <f>_xlfn.XLOOKUP($B199,'NEW Boiler 5 PTE (B005)'!$B$24:$B$84,'NEW Boiler 5 PTE (B005)'!$D$24:$D$84)</f>
        <v>1.4847039012068477E-4</v>
      </c>
      <c r="I199" s="390" t="s">
        <v>208</v>
      </c>
    </row>
    <row r="200" spans="1:9" x14ac:dyDescent="0.2">
      <c r="A200" s="18" t="s">
        <v>228</v>
      </c>
      <c r="B200" s="380" t="s">
        <v>171</v>
      </c>
      <c r="C200" s="380" t="s">
        <v>240</v>
      </c>
      <c r="D200" s="390">
        <v>3.45E-6</v>
      </c>
      <c r="E200" s="391" t="s">
        <v>203</v>
      </c>
      <c r="F200" s="387">
        <f>_xlfn.XLOOKUP($B200,'NEW Boiler 5 PTE (B005)'!$B$24:$B$84,'NEW Boiler 5 PTE (B005)'!$C$24:$C$84)</f>
        <v>3.1533819814762836E-7</v>
      </c>
      <c r="G200" s="390">
        <f t="shared" si="8"/>
        <v>7.4235195060342403E-4</v>
      </c>
      <c r="H200" s="387">
        <f>_xlfn.XLOOKUP($B200,'NEW Boiler 5 PTE (B005)'!$B$24:$B$84,'NEW Boiler 5 PTE (B005)'!$D$24:$D$84)</f>
        <v>3.71175975301712E-7</v>
      </c>
      <c r="I200" s="390" t="s">
        <v>208</v>
      </c>
    </row>
    <row r="201" spans="1:9" x14ac:dyDescent="0.2">
      <c r="A201" s="18" t="s">
        <v>228</v>
      </c>
      <c r="B201" s="380" t="s">
        <v>172</v>
      </c>
      <c r="C201" s="380" t="s">
        <v>240</v>
      </c>
      <c r="D201" s="390">
        <v>3.2199999999999997E-6</v>
      </c>
      <c r="E201" s="391" t="s">
        <v>203</v>
      </c>
      <c r="F201" s="387">
        <f>_xlfn.XLOOKUP($B201,'NEW Boiler 5 PTE (B005)'!$B$24:$B$84,'NEW Boiler 5 PTE (B005)'!$C$24:$C$84)</f>
        <v>2.9431565160445309E-7</v>
      </c>
      <c r="G201" s="390">
        <f t="shared" si="8"/>
        <v>6.9286182056319575E-4</v>
      </c>
      <c r="H201" s="387">
        <f>_xlfn.XLOOKUP($B201,'NEW Boiler 5 PTE (B005)'!$B$24:$B$84,'NEW Boiler 5 PTE (B005)'!$D$24:$D$84)</f>
        <v>3.4643091028159788E-7</v>
      </c>
      <c r="I201" s="390" t="s">
        <v>208</v>
      </c>
    </row>
    <row r="202" spans="1:9" x14ac:dyDescent="0.2">
      <c r="A202" s="18" t="s">
        <v>228</v>
      </c>
      <c r="B202" s="380" t="s">
        <v>173</v>
      </c>
      <c r="C202" s="380" t="s">
        <v>238</v>
      </c>
      <c r="D202" s="390">
        <v>8.6249999999999993E-2</v>
      </c>
      <c r="E202" s="391" t="s">
        <v>203</v>
      </c>
      <c r="F202" s="387">
        <f>_xlfn.XLOOKUP($B202,'NEW Boiler 5 PTE (B005)'!$B$24:$B$84,'NEW Boiler 5 PTE (B005)'!$C$24:$C$84)</f>
        <v>7.8834549536907078E-3</v>
      </c>
      <c r="G202" s="390">
        <f t="shared" si="8"/>
        <v>18.558798765085601</v>
      </c>
      <c r="H202" s="387">
        <f>_xlfn.XLOOKUP($B202,'NEW Boiler 5 PTE (B005)'!$B$24:$B$84,'NEW Boiler 5 PTE (B005)'!$D$24:$D$84)</f>
        <v>9.2793993825428002E-3</v>
      </c>
      <c r="I202" s="390" t="s">
        <v>208</v>
      </c>
    </row>
    <row r="203" spans="1:9" x14ac:dyDescent="0.2">
      <c r="A203" s="18" t="s">
        <v>228</v>
      </c>
      <c r="B203" s="380" t="s">
        <v>174</v>
      </c>
      <c r="C203" s="380" t="s">
        <v>238</v>
      </c>
      <c r="D203" s="390">
        <v>2.0699999999999998</v>
      </c>
      <c r="E203" s="391" t="s">
        <v>203</v>
      </c>
      <c r="F203" s="387">
        <f>_xlfn.XLOOKUP($B203,'NEW Boiler 5 PTE (B005)'!$B$24:$B$84,'NEW Boiler 5 PTE (B005)'!$C$24:$C$84)</f>
        <v>0.18920291888857702</v>
      </c>
      <c r="G203" s="390">
        <f t="shared" si="8"/>
        <v>445.41117036205441</v>
      </c>
      <c r="H203" s="387">
        <f>_xlfn.XLOOKUP($B203,'NEW Boiler 5 PTE (B005)'!$B$24:$B$84,'NEW Boiler 5 PTE (B005)'!$D$24:$D$84)</f>
        <v>0.2227055851810272</v>
      </c>
      <c r="I203" s="390" t="s">
        <v>208</v>
      </c>
    </row>
    <row r="204" spans="1:9" x14ac:dyDescent="0.2">
      <c r="A204" s="18" t="s">
        <v>228</v>
      </c>
      <c r="B204" s="380" t="s">
        <v>175</v>
      </c>
      <c r="C204" s="380" t="s">
        <v>240</v>
      </c>
      <c r="D204" s="390">
        <v>1.3339999999999999E-8</v>
      </c>
      <c r="E204" s="391" t="s">
        <v>203</v>
      </c>
      <c r="F204" s="387">
        <f>_xlfn.XLOOKUP($B204,'NEW Boiler 5 PTE (B005)'!$B$24:$B$84,'NEW Boiler 5 PTE (B005)'!$C$24:$C$84)</f>
        <v>1.2193076995041628E-9</v>
      </c>
      <c r="G204" s="390">
        <f t="shared" si="8"/>
        <v>2.8704275423332395E-6</v>
      </c>
      <c r="H204" s="387">
        <f>_xlfn.XLOOKUP($B204,'NEW Boiler 5 PTE (B005)'!$B$24:$B$84,'NEW Boiler 5 PTE (B005)'!$D$24:$D$84)</f>
        <v>1.4352137711666199E-9</v>
      </c>
      <c r="I204" s="390" t="s">
        <v>208</v>
      </c>
    </row>
    <row r="205" spans="1:9" x14ac:dyDescent="0.2">
      <c r="A205" s="18" t="s">
        <v>228</v>
      </c>
      <c r="B205" s="380" t="s">
        <v>176</v>
      </c>
      <c r="C205" s="380" t="s">
        <v>240</v>
      </c>
      <c r="D205" s="390">
        <v>4.507999999999999E-6</v>
      </c>
      <c r="E205" s="391" t="s">
        <v>203</v>
      </c>
      <c r="F205" s="387">
        <f>_xlfn.XLOOKUP($B205,'NEW Boiler 5 PTE (B005)'!$B$24:$B$84,'NEW Boiler 5 PTE (B005)'!$C$24:$C$84)</f>
        <v>4.1204191224623431E-7</v>
      </c>
      <c r="G205" s="390">
        <f t="shared" si="8"/>
        <v>9.7000654878847379E-4</v>
      </c>
      <c r="H205" s="387">
        <f>_xlfn.XLOOKUP($B205,'NEW Boiler 5 PTE (B005)'!$B$24:$B$84,'NEW Boiler 5 PTE (B005)'!$D$24:$D$84)</f>
        <v>4.8500327439423691E-7</v>
      </c>
      <c r="I205" s="390" t="s">
        <v>208</v>
      </c>
    </row>
    <row r="206" spans="1:9" x14ac:dyDescent="0.2">
      <c r="A206" s="18" t="s">
        <v>228</v>
      </c>
      <c r="B206" s="380" t="s">
        <v>177</v>
      </c>
      <c r="C206" s="380" t="s">
        <v>240</v>
      </c>
      <c r="D206" s="390">
        <v>1.2534999999999999E-7</v>
      </c>
      <c r="E206" s="391" t="s">
        <v>203</v>
      </c>
      <c r="F206" s="387">
        <f>_xlfn.XLOOKUP($B206,'NEW Boiler 5 PTE (B005)'!$B$24:$B$84,'NEW Boiler 5 PTE (B005)'!$C$24:$C$84)</f>
        <v>1.1457287866030497E-8</v>
      </c>
      <c r="G206" s="390">
        <f t="shared" si="8"/>
        <v>2.6972120871924407E-5</v>
      </c>
      <c r="H206" s="387">
        <f>_xlfn.XLOOKUP($B206,'NEW Boiler 5 PTE (B005)'!$B$24:$B$84,'NEW Boiler 5 PTE (B005)'!$D$24:$D$84)</f>
        <v>1.3486060435962203E-8</v>
      </c>
      <c r="I206" s="390" t="s">
        <v>208</v>
      </c>
    </row>
    <row r="207" spans="1:9" x14ac:dyDescent="0.2">
      <c r="A207" s="18" t="s">
        <v>228</v>
      </c>
      <c r="B207" s="380" t="s">
        <v>178</v>
      </c>
      <c r="C207" s="380" t="s">
        <v>240</v>
      </c>
      <c r="D207" s="390">
        <v>3.6915000000000003E-8</v>
      </c>
      <c r="E207" s="391" t="s">
        <v>203</v>
      </c>
      <c r="F207" s="387">
        <f>_xlfn.XLOOKUP($B207,'NEW Boiler 5 PTE (B005)'!$B$24:$B$84,'NEW Boiler 5 PTE (B005)'!$C$24:$C$84)</f>
        <v>3.3741187201796239E-9</v>
      </c>
      <c r="G207" s="390">
        <f t="shared" si="8"/>
        <v>7.9431658714566388E-6</v>
      </c>
      <c r="H207" s="387">
        <f>_xlfn.XLOOKUP($B207,'NEW Boiler 5 PTE (B005)'!$B$24:$B$84,'NEW Boiler 5 PTE (B005)'!$D$24:$D$84)</f>
        <v>3.9715829357283197E-9</v>
      </c>
      <c r="I207" s="390" t="s">
        <v>208</v>
      </c>
    </row>
    <row r="208" spans="1:9" x14ac:dyDescent="0.2">
      <c r="A208" s="18" t="s">
        <v>228</v>
      </c>
      <c r="B208" s="380" t="s">
        <v>179</v>
      </c>
      <c r="C208" s="380" t="s">
        <v>238</v>
      </c>
      <c r="D208" s="390">
        <v>2.5069999999999999E-5</v>
      </c>
      <c r="E208" s="391" t="s">
        <v>203</v>
      </c>
      <c r="F208" s="387">
        <f>_xlfn.XLOOKUP($B208,'NEW Boiler 5 PTE (B005)'!$B$24:$B$84,'NEW Boiler 5 PTE (B005)'!$C$24:$C$84)</f>
        <v>2.2914575732060994E-6</v>
      </c>
      <c r="G208" s="390">
        <f t="shared" si="8"/>
        <v>5.3944241743848808E-3</v>
      </c>
      <c r="H208" s="387">
        <f>_xlfn.XLOOKUP($B208,'NEW Boiler 5 PTE (B005)'!$B$24:$B$84,'NEW Boiler 5 PTE (B005)'!$D$24:$D$84)</f>
        <v>2.6972120871924405E-6</v>
      </c>
      <c r="I208" s="390" t="s">
        <v>208</v>
      </c>
    </row>
    <row r="209" spans="1:9" x14ac:dyDescent="0.2">
      <c r="A209" s="18" t="s">
        <v>228</v>
      </c>
      <c r="B209" s="380" t="s">
        <v>153</v>
      </c>
      <c r="C209" s="380" t="s">
        <v>238</v>
      </c>
      <c r="D209" s="390">
        <v>4.5599999999999996</v>
      </c>
      <c r="E209" s="391" t="s">
        <v>203</v>
      </c>
      <c r="F209" s="387">
        <f>_xlfn.XLOOKUP($B209,'NEW Boiler 5 PTE (B005)'!$B$24:$B$84,'NEW Boiler 5 PTE (B005)'!$C$24:$C$84)</f>
        <v>0.87065077193668161</v>
      </c>
      <c r="G209" s="390">
        <f t="shared" si="8"/>
        <v>5569.6697283564581</v>
      </c>
      <c r="H209" s="387">
        <f>_xlfn.XLOOKUP($B209,'NEW Boiler 5 PTE (B005)'!$B$24:$B$84,'NEW Boiler 5 PTE (B005)'!$D$24:$D$84)</f>
        <v>2.784834864178229</v>
      </c>
      <c r="I209" s="390" t="s">
        <v>253</v>
      </c>
    </row>
    <row r="210" spans="1:9" x14ac:dyDescent="0.2">
      <c r="A210" s="18" t="s">
        <v>228</v>
      </c>
      <c r="B210" s="380" t="s">
        <v>254</v>
      </c>
      <c r="C210" s="380" t="s">
        <v>238</v>
      </c>
      <c r="D210" s="390">
        <v>3.3000000000000002E-2</v>
      </c>
      <c r="E210" s="391" t="s">
        <v>203</v>
      </c>
      <c r="F210" s="387">
        <f>_xlfn.XLOOKUP($B210,'NEW Boiler 5 PTE (B005)'!$B$24:$B$84,'NEW Boiler 5 PTE (B005)'!$C$24:$C$84)</f>
        <v>6.3007621653312492E-3</v>
      </c>
      <c r="G210" s="390">
        <f t="shared" si="8"/>
        <v>40.306820402579639</v>
      </c>
      <c r="H210" s="387">
        <f>_xlfn.XLOOKUP($B210,'NEW Boiler 5 PTE (B005)'!$B$24:$B$84,'NEW Boiler 5 PTE (B005)'!$D$24:$D$84)</f>
        <v>2.0153410201289818E-2</v>
      </c>
      <c r="I210" s="390" t="s">
        <v>253</v>
      </c>
    </row>
    <row r="211" spans="1:9" x14ac:dyDescent="0.2">
      <c r="A211" s="18" t="s">
        <v>228</v>
      </c>
      <c r="B211" s="380" t="s">
        <v>182</v>
      </c>
      <c r="C211" s="380" t="s">
        <v>238</v>
      </c>
      <c r="D211" s="390">
        <v>6.5000000000000002E-2</v>
      </c>
      <c r="E211" s="391" t="s">
        <v>203</v>
      </c>
      <c r="F211" s="387">
        <f>_xlfn.XLOOKUP($B211,'NEW Boiler 5 PTE (B005)'!$B$24:$B$84,'NEW Boiler 5 PTE (B005)'!$C$24:$C$84)</f>
        <v>1.2410592143834279E-2</v>
      </c>
      <c r="G211" s="390">
        <f t="shared" si="8"/>
        <v>79.392222005081109</v>
      </c>
      <c r="H211" s="387">
        <f>_xlfn.XLOOKUP($B211,'NEW Boiler 5 PTE (B005)'!$B$24:$B$84,'NEW Boiler 5 PTE (B005)'!$D$24:$D$84)</f>
        <v>3.9696111002540557E-2</v>
      </c>
      <c r="I211" s="390" t="s">
        <v>253</v>
      </c>
    </row>
    <row r="212" spans="1:9" x14ac:dyDescent="0.2">
      <c r="A212" s="18" t="s">
        <v>228</v>
      </c>
      <c r="B212" s="380" t="s">
        <v>183</v>
      </c>
      <c r="C212" s="380" t="s">
        <v>238</v>
      </c>
      <c r="D212" s="390">
        <v>0.155</v>
      </c>
      <c r="E212" s="391" t="s">
        <v>203</v>
      </c>
      <c r="F212" s="387">
        <f>_xlfn.XLOOKUP($B212,'NEW Boiler 5 PTE (B005)'!$B$24:$B$84,'NEW Boiler 5 PTE (B005)'!$C$24:$C$84)</f>
        <v>0.33636074469080357</v>
      </c>
      <c r="G212" s="390">
        <f t="shared" si="8"/>
        <v>791.84208064365225</v>
      </c>
      <c r="H212" s="387">
        <f>_xlfn.XLOOKUP($B212,'NEW Boiler 5 PTE (B005)'!$B$24:$B$84,'NEW Boiler 5 PTE (B005)'!$D$24:$D$84)</f>
        <v>0.39592104032182612</v>
      </c>
      <c r="I212" s="390" t="s">
        <v>209</v>
      </c>
    </row>
    <row r="213" spans="1:9" x14ac:dyDescent="0.2">
      <c r="A213" s="18" t="s">
        <v>228</v>
      </c>
      <c r="B213" s="380" t="s">
        <v>66</v>
      </c>
      <c r="C213" s="380" t="s">
        <v>237</v>
      </c>
      <c r="D213" s="390">
        <v>5.7499999999999999E-4</v>
      </c>
      <c r="E213" s="391" t="s">
        <v>203</v>
      </c>
      <c r="F213" s="387">
        <f>_xlfn.XLOOKUP($B213,'NEW Boiler 5 PTE (B005)'!$B$24:$B$84,'NEW Boiler 5 PTE (B005)'!$C$24:$C$84)</f>
        <v>5.2556366357938062E-5</v>
      </c>
      <c r="G213" s="390">
        <f t="shared" si="8"/>
        <v>0.12372532510057066</v>
      </c>
      <c r="H213" s="387">
        <f>_xlfn.XLOOKUP($B213,'NEW Boiler 5 PTE (B005)'!$B$24:$B$84,'NEW Boiler 5 PTE (B005)'!$D$24:$D$84)</f>
        <v>6.1862662550285331E-5</v>
      </c>
      <c r="I213" s="390" t="s">
        <v>204</v>
      </c>
    </row>
    <row r="214" spans="1:9" x14ac:dyDescent="0.2">
      <c r="A214" s="18" t="s">
        <v>228</v>
      </c>
      <c r="B214" s="380" t="s">
        <v>185</v>
      </c>
      <c r="C214" s="380" t="s">
        <v>237</v>
      </c>
      <c r="D214" s="390">
        <v>1.4719999999999998E-6</v>
      </c>
      <c r="E214" s="391" t="s">
        <v>203</v>
      </c>
      <c r="F214" s="387">
        <f>_xlfn.XLOOKUP($B214,'NEW Boiler 5 PTE (B005)'!$B$24:$B$84,'NEW Boiler 5 PTE (B005)'!$C$24:$C$84)</f>
        <v>1.3454429787632142E-7</v>
      </c>
      <c r="G214" s="390">
        <f t="shared" si="8"/>
        <v>3.1673683225746089E-4</v>
      </c>
      <c r="H214" s="387">
        <f>_xlfn.XLOOKUP($B214,'NEW Boiler 5 PTE (B005)'!$B$24:$B$84,'NEW Boiler 5 PTE (B005)'!$D$24:$D$84)</f>
        <v>1.5836841612873043E-7</v>
      </c>
      <c r="I214" s="390" t="s">
        <v>210</v>
      </c>
    </row>
    <row r="215" spans="1:9" x14ac:dyDescent="0.2">
      <c r="A215" s="18" t="s">
        <v>228</v>
      </c>
      <c r="B215" s="380" t="s">
        <v>186</v>
      </c>
      <c r="C215" s="380" t="s">
        <v>237</v>
      </c>
      <c r="D215" s="390">
        <v>8.8549999999999996E-8</v>
      </c>
      <c r="E215" s="391" t="s">
        <v>203</v>
      </c>
      <c r="F215" s="387">
        <f>_xlfn.XLOOKUP($B215,'NEW Boiler 5 PTE (B005)'!$B$24:$B$84,'NEW Boiler 5 PTE (B005)'!$C$24:$C$84)</f>
        <v>8.0936804191224606E-9</v>
      </c>
      <c r="G215" s="390">
        <f t="shared" si="8"/>
        <v>1.9053700065487882E-5</v>
      </c>
      <c r="H215" s="387">
        <f>_xlfn.XLOOKUP($B215,'NEW Boiler 5 PTE (B005)'!$B$24:$B$84,'NEW Boiler 5 PTE (B005)'!$D$24:$D$84)</f>
        <v>9.5268500327439413E-9</v>
      </c>
      <c r="I215" s="390" t="s">
        <v>210</v>
      </c>
    </row>
    <row r="216" spans="1:9" x14ac:dyDescent="0.2">
      <c r="A216" s="18" t="s">
        <v>228</v>
      </c>
      <c r="B216" s="380" t="s">
        <v>187</v>
      </c>
      <c r="C216" s="380" t="s">
        <v>237</v>
      </c>
      <c r="D216" s="390">
        <v>8.1189999999999997E-6</v>
      </c>
      <c r="E216" s="391" t="s">
        <v>203</v>
      </c>
      <c r="F216" s="387">
        <f>_xlfn.XLOOKUP($B216,'NEW Boiler 5 PTE (B005)'!$B$24:$B$84,'NEW Boiler 5 PTE (B005)'!$C$24:$C$84)</f>
        <v>7.4209589297408533E-7</v>
      </c>
      <c r="G216" s="390">
        <f t="shared" si="8"/>
        <v>1.7470015904200579E-3</v>
      </c>
      <c r="H216" s="387">
        <f>_xlfn.XLOOKUP($B216,'NEW Boiler 5 PTE (B005)'!$B$24:$B$84,'NEW Boiler 5 PTE (B005)'!$D$24:$D$84)</f>
        <v>8.7350079521002892E-7</v>
      </c>
      <c r="I216" s="390" t="s">
        <v>210</v>
      </c>
    </row>
    <row r="217" spans="1:9" x14ac:dyDescent="0.2">
      <c r="A217" s="18" t="s">
        <v>228</v>
      </c>
      <c r="B217" s="380" t="s">
        <v>188</v>
      </c>
      <c r="C217" s="380" t="s">
        <v>237</v>
      </c>
      <c r="D217" s="390">
        <v>1.0338499999999999E-5</v>
      </c>
      <c r="E217" s="391" t="s">
        <v>203</v>
      </c>
      <c r="F217" s="387">
        <f>_xlfn.XLOOKUP($B217,'NEW Boiler 5 PTE (B005)'!$B$24:$B$84,'NEW Boiler 5 PTE (B005)'!$C$24:$C$84)</f>
        <v>9.4496346711572629E-7</v>
      </c>
      <c r="G217" s="387">
        <f t="shared" si="8"/>
        <v>2.2245813453082605E-3</v>
      </c>
      <c r="H217" s="387">
        <f>_xlfn.XLOOKUP($B217,'NEW Boiler 5 PTE (B005)'!$B$24:$B$84,'NEW Boiler 5 PTE (B005)'!$D$24:$D$84)</f>
        <v>1.1122906726541303E-6</v>
      </c>
      <c r="I217" s="390" t="s">
        <v>210</v>
      </c>
    </row>
    <row r="218" spans="1:9" x14ac:dyDescent="0.2">
      <c r="A218" s="18" t="s">
        <v>228</v>
      </c>
      <c r="B218" s="380" t="s">
        <v>189</v>
      </c>
      <c r="C218" s="380" t="s">
        <v>237</v>
      </c>
      <c r="D218" s="390">
        <v>6.1984999999999998E-7</v>
      </c>
      <c r="E218" s="391" t="s">
        <v>203</v>
      </c>
      <c r="F218" s="387">
        <f>_xlfn.XLOOKUP($B218,'NEW Boiler 5 PTE (B005)'!$B$24:$B$84,'NEW Boiler 5 PTE (B005)'!$C$24:$C$84)</f>
        <v>5.665576293385723E-8</v>
      </c>
      <c r="G218" s="390">
        <f t="shared" si="8"/>
        <v>1.3337590045841519E-4</v>
      </c>
      <c r="H218" s="387">
        <f>_xlfn.XLOOKUP($B218,'NEW Boiler 5 PTE (B005)'!$B$24:$B$84,'NEW Boiler 5 PTE (B005)'!$D$24:$D$84)</f>
        <v>6.6687950229207591E-8</v>
      </c>
      <c r="I218" s="390" t="s">
        <v>210</v>
      </c>
    </row>
    <row r="219" spans="1:9" x14ac:dyDescent="0.2">
      <c r="A219" s="18" t="s">
        <v>228</v>
      </c>
      <c r="B219" s="380" t="s">
        <v>190</v>
      </c>
      <c r="C219" s="380" t="s">
        <v>237</v>
      </c>
      <c r="D219" s="390">
        <v>2.8059999999999999E-6</v>
      </c>
      <c r="E219" s="391" t="s">
        <v>203</v>
      </c>
      <c r="F219" s="387">
        <f>_xlfn.XLOOKUP($B219,'NEW Boiler 5 PTE (B005)'!$B$24:$B$84,'NEW Boiler 5 PTE (B005)'!$C$24:$C$84)</f>
        <v>2.5647506782673775E-7</v>
      </c>
      <c r="G219" s="390">
        <f t="shared" si="8"/>
        <v>6.037795864907849E-4</v>
      </c>
      <c r="H219" s="387">
        <f>_xlfn.XLOOKUP($B219,'NEW Boiler 5 PTE (B005)'!$B$24:$B$84,'NEW Boiler 5 PTE (B005)'!$D$24:$D$84)</f>
        <v>3.0188979324539244E-7</v>
      </c>
      <c r="I219" s="390" t="s">
        <v>210</v>
      </c>
    </row>
    <row r="220" spans="1:9" x14ac:dyDescent="0.2">
      <c r="A220" s="18" t="s">
        <v>228</v>
      </c>
      <c r="B220" s="380" t="s">
        <v>191</v>
      </c>
      <c r="C220" s="380" t="s">
        <v>239</v>
      </c>
      <c r="D220" s="390">
        <v>2.9899999999999995E-4</v>
      </c>
      <c r="E220" s="391" t="s">
        <v>203</v>
      </c>
      <c r="F220" s="387">
        <f>_xlfn.XLOOKUP($B220,'NEW Boiler 5 PTE (B005)'!$B$24:$B$84,'NEW Boiler 5 PTE (B005)'!$C$24:$C$84)</f>
        <v>2.7329310506127787E-5</v>
      </c>
      <c r="G220" s="390">
        <f t="shared" si="8"/>
        <v>6.4337169052296736E-2</v>
      </c>
      <c r="H220" s="387">
        <f>_xlfn.XLOOKUP($B220,'NEW Boiler 5 PTE (B005)'!$B$24:$B$84,'NEW Boiler 5 PTE (B005)'!$D$24:$D$84)</f>
        <v>3.2168584526148371E-5</v>
      </c>
      <c r="I220" s="390" t="s">
        <v>210</v>
      </c>
    </row>
    <row r="221" spans="1:9" x14ac:dyDescent="0.2">
      <c r="A221" s="18" t="s">
        <v>228</v>
      </c>
      <c r="B221" s="380" t="s">
        <v>192</v>
      </c>
      <c r="C221" s="380" t="s">
        <v>237</v>
      </c>
      <c r="D221" s="390">
        <v>1.5524999999999998E-5</v>
      </c>
      <c r="E221" s="391" t="s">
        <v>203</v>
      </c>
      <c r="F221" s="387">
        <f>_xlfn.XLOOKUP($B221,'NEW Boiler 5 PTE (B005)'!$B$24:$B$84,'NEW Boiler 5 PTE (B005)'!$C$24:$C$84)</f>
        <v>1.4190218916643275E-6</v>
      </c>
      <c r="G221" s="390">
        <f t="shared" si="8"/>
        <v>3.340583777715408E-3</v>
      </c>
      <c r="H221" s="387">
        <f>_xlfn.XLOOKUP($B221,'NEW Boiler 5 PTE (B005)'!$B$24:$B$84,'NEW Boiler 5 PTE (B005)'!$D$24:$D$84)</f>
        <v>1.670291888857704E-6</v>
      </c>
      <c r="I221" s="390" t="s">
        <v>210</v>
      </c>
    </row>
    <row r="222" spans="1:9" x14ac:dyDescent="0.2">
      <c r="A222" s="18" t="s">
        <v>228</v>
      </c>
      <c r="B222" s="380" t="s">
        <v>193</v>
      </c>
      <c r="C222" s="380" t="s">
        <v>237</v>
      </c>
      <c r="D222" s="390">
        <v>1.7709999999999999E-7</v>
      </c>
      <c r="E222" s="391" t="s">
        <v>203</v>
      </c>
      <c r="F222" s="387">
        <f>_xlfn.XLOOKUP($B222,'NEW Boiler 5 PTE (B005)'!$B$24:$B$84,'NEW Boiler 5 PTE (B005)'!$C$24:$C$84)</f>
        <v>1.6187360838244921E-8</v>
      </c>
      <c r="G222" s="390">
        <f t="shared" si="8"/>
        <v>3.8107400130975763E-5</v>
      </c>
      <c r="H222" s="387">
        <f>_xlfn.XLOOKUP($B222,'NEW Boiler 5 PTE (B005)'!$B$24:$B$84,'NEW Boiler 5 PTE (B005)'!$D$24:$D$84)</f>
        <v>1.9053700065487883E-8</v>
      </c>
      <c r="I222" s="390" t="s">
        <v>210</v>
      </c>
    </row>
  </sheetData>
  <mergeCells count="16">
    <mergeCell ref="I104:I105"/>
    <mergeCell ref="H10:H11"/>
    <mergeCell ref="C10:F10"/>
    <mergeCell ref="B104:B105"/>
    <mergeCell ref="C104:C105"/>
    <mergeCell ref="D104:D105"/>
    <mergeCell ref="E104:E105"/>
    <mergeCell ref="F104:H104"/>
    <mergeCell ref="B10:B11"/>
    <mergeCell ref="G10:G11"/>
    <mergeCell ref="B22:B23"/>
    <mergeCell ref="C22:C23"/>
    <mergeCell ref="D22:D23"/>
    <mergeCell ref="E22:E23"/>
    <mergeCell ref="F22:H22"/>
    <mergeCell ref="I22:I23"/>
  </mergeCells>
  <phoneticPr fontId="57" type="noConversion"/>
  <pageMargins left="0.7" right="0.7" top="0.75" bottom="0.75" header="0.3" footer="0.3"/>
  <pageSetup scale="51" fitToWidth="0" fitToHeight="0" orientation="portrait" r:id="rId1"/>
  <rowBreaks count="2" manualBreakCount="2">
    <brk id="62" min="1" max="8" man="1"/>
    <brk id="144" min="1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B3884-6802-4D48-8614-3D8EF91D51FE}">
  <sheetPr>
    <tabColor theme="1"/>
    <pageSetUpPr fitToPage="1"/>
  </sheetPr>
  <dimension ref="B1:L2"/>
  <sheetViews>
    <sheetView workbookViewId="0"/>
  </sheetViews>
  <sheetFormatPr defaultColWidth="9.140625" defaultRowHeight="12.75" x14ac:dyDescent="0.2"/>
  <cols>
    <col min="1" max="16384" width="9.140625" style="20"/>
  </cols>
  <sheetData>
    <row r="1" spans="2:12" s="18" customFormat="1" x14ac:dyDescent="0.2">
      <c r="B1" s="28"/>
      <c r="H1" s="19"/>
      <c r="I1" s="19"/>
      <c r="J1" s="19"/>
      <c r="K1" s="19"/>
      <c r="L1" s="19"/>
    </row>
    <row r="2" spans="2:12" s="18" customFormat="1" x14ac:dyDescent="0.2">
      <c r="B2" s="28"/>
      <c r="H2" s="19"/>
      <c r="I2" s="19"/>
      <c r="J2" s="19"/>
      <c r="K2" s="19"/>
      <c r="L2" s="19"/>
    </row>
  </sheetData>
  <pageMargins left="0.7" right="0.7" top="0.75" bottom="0.75" header="0.3" footer="0.3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88D1E-910A-4DD3-B5F9-171F25E1016F}">
  <sheetPr>
    <tabColor theme="1"/>
  </sheetPr>
  <dimension ref="B1:N70"/>
  <sheetViews>
    <sheetView view="pageBreakPreview" zoomScale="60" zoomScaleNormal="100" workbookViewId="0">
      <selection activeCell="J40" sqref="J40:J41"/>
    </sheetView>
  </sheetViews>
  <sheetFormatPr defaultColWidth="9.140625" defaultRowHeight="12.75" x14ac:dyDescent="0.2"/>
  <cols>
    <col min="1" max="1" width="4.28515625" style="252" customWidth="1"/>
    <col min="2" max="2" width="12" style="252" customWidth="1"/>
    <col min="3" max="3" width="18.85546875" style="252" customWidth="1"/>
    <col min="4" max="7" width="8.85546875" style="252" bestFit="1" customWidth="1"/>
    <col min="8" max="13" width="9.140625" style="252"/>
    <col min="14" max="14" width="11.140625" style="252" bestFit="1" customWidth="1"/>
    <col min="15" max="16384" width="9.140625" style="252"/>
  </cols>
  <sheetData>
    <row r="1" spans="2:14" s="18" customFormat="1" x14ac:dyDescent="0.2">
      <c r="B1" s="28"/>
      <c r="C1" s="28"/>
      <c r="F1" s="19"/>
      <c r="G1" s="19"/>
    </row>
    <row r="2" spans="2:14" s="18" customFormat="1" x14ac:dyDescent="0.2">
      <c r="B2" s="28"/>
      <c r="C2" s="28"/>
      <c r="F2" s="19"/>
      <c r="G2" s="19"/>
    </row>
    <row r="3" spans="2:14" x14ac:dyDescent="0.2">
      <c r="B3" s="20"/>
      <c r="C3" s="20"/>
    </row>
    <row r="4" spans="2:14" x14ac:dyDescent="0.2">
      <c r="B4" s="24" t="s">
        <v>0</v>
      </c>
      <c r="C4" s="25" t="s">
        <v>261</v>
      </c>
    </row>
    <row r="5" spans="2:14" x14ac:dyDescent="0.2">
      <c r="B5" s="24" t="s">
        <v>79</v>
      </c>
      <c r="C5" s="25" t="s">
        <v>4</v>
      </c>
    </row>
    <row r="6" spans="2:14" x14ac:dyDescent="0.2">
      <c r="B6" s="24" t="s">
        <v>80</v>
      </c>
      <c r="C6" s="25" t="s">
        <v>262</v>
      </c>
    </row>
    <row r="7" spans="2:14" x14ac:dyDescent="0.2">
      <c r="B7" s="20"/>
      <c r="C7" s="20"/>
    </row>
    <row r="8" spans="2:14" x14ac:dyDescent="0.2">
      <c r="B8" s="26"/>
      <c r="C8" s="26"/>
    </row>
    <row r="9" spans="2:14" x14ac:dyDescent="0.2">
      <c r="B9" s="26"/>
      <c r="C9" s="26"/>
    </row>
    <row r="10" spans="2:14" x14ac:dyDescent="0.2">
      <c r="B10" s="27" t="s">
        <v>263</v>
      </c>
      <c r="C10" s="35" t="s">
        <v>264</v>
      </c>
    </row>
    <row r="11" spans="2:14" s="253" customFormat="1" ht="15" customHeight="1" thickBot="1" x14ac:dyDescent="0.25"/>
    <row r="12" spans="2:14" ht="16.5" customHeight="1" thickBot="1" x14ac:dyDescent="0.25">
      <c r="B12" s="30"/>
      <c r="C12" s="30"/>
      <c r="D12" s="552" t="s">
        <v>265</v>
      </c>
      <c r="E12" s="553"/>
      <c r="F12" s="553"/>
      <c r="G12" s="554"/>
      <c r="H12" s="552" t="s">
        <v>266</v>
      </c>
      <c r="I12" s="553"/>
      <c r="J12" s="553"/>
      <c r="K12" s="554"/>
      <c r="L12" s="254"/>
    </row>
    <row r="13" spans="2:14" ht="27.75" thickBot="1" x14ac:dyDescent="0.25">
      <c r="B13" s="29" t="s">
        <v>267</v>
      </c>
      <c r="C13" s="530" t="s">
        <v>268</v>
      </c>
      <c r="D13" s="531" t="s">
        <v>269</v>
      </c>
      <c r="E13" s="532" t="s">
        <v>270</v>
      </c>
      <c r="F13" s="532" t="s">
        <v>271</v>
      </c>
      <c r="G13" s="533" t="s">
        <v>272</v>
      </c>
      <c r="H13" s="531" t="s">
        <v>269</v>
      </c>
      <c r="I13" s="532" t="s">
        <v>270</v>
      </c>
      <c r="J13" s="532" t="s">
        <v>271</v>
      </c>
      <c r="K13" s="533" t="s">
        <v>272</v>
      </c>
    </row>
    <row r="14" spans="2:14" ht="27.75" thickBot="1" x14ac:dyDescent="0.25">
      <c r="B14" s="199"/>
      <c r="C14" s="199"/>
      <c r="D14" s="531" t="s">
        <v>273</v>
      </c>
      <c r="E14" s="532" t="s">
        <v>274</v>
      </c>
      <c r="F14" s="532" t="s">
        <v>273</v>
      </c>
      <c r="G14" s="533" t="s">
        <v>274</v>
      </c>
      <c r="H14" s="531"/>
      <c r="I14" s="532"/>
      <c r="J14" s="532"/>
      <c r="K14" s="533"/>
    </row>
    <row r="15" spans="2:14" ht="14.25" thickBot="1" x14ac:dyDescent="0.25">
      <c r="B15" s="199"/>
      <c r="C15" s="199"/>
      <c r="D15" s="534" t="s">
        <v>275</v>
      </c>
      <c r="E15" s="535" t="s">
        <v>275</v>
      </c>
      <c r="F15" s="535" t="s">
        <v>276</v>
      </c>
      <c r="G15" s="536" t="s">
        <v>276</v>
      </c>
      <c r="H15" s="534"/>
      <c r="I15" s="535"/>
      <c r="J15" s="535"/>
      <c r="K15" s="536"/>
    </row>
    <row r="16" spans="2:14" ht="13.5" hidden="1" x14ac:dyDescent="0.25">
      <c r="B16" s="31">
        <v>2020</v>
      </c>
      <c r="C16" s="197" t="s">
        <v>277</v>
      </c>
      <c r="D16" s="255" cm="1">
        <f t="array" aca="1" ref="D16" ca="1">_xlfn.XLOOKUP($B16&amp;D$15,'Gas Useage'!$A$4:$A$15&amp;'Gas Useage'!$B$4:$B$15,_xlfn.XLOOKUP($C16&amp;D$14,'Gas Useage'!$C$2:$AB$2&amp;'Gas Useage'!$C$3:$AB$3,'Gas Useage'!$C$4:$AB$15))*$C$55/2000/1000+'PMCOND Simple'!D16</f>
        <v>7.5172577573835345E-2</v>
      </c>
      <c r="E16" s="255" cm="1">
        <f t="array" aca="1" ref="E16" ca="1">_xlfn.XLOOKUP($B16&amp;E$15,'Gas Useage'!$A$4:$A$15&amp;'Gas Useage'!$B$4:$B$15,_xlfn.XLOOKUP($C16&amp;E$14,'Gas Useage'!$C$2:$AB$2&amp;'Gas Useage'!$C$3:$AB$3,'Gas Useage'!$C$4:$AB$15))*$C$55/2000/1000+'PMCOND Simple'!E16</f>
        <v>6.6483474908141729E-3</v>
      </c>
      <c r="F16" s="255" cm="1">
        <f t="array" aca="1" ref="F16" ca="1">_xlfn.XLOOKUP($B16&amp;F$15,'Gas Useage'!$A$4:$A$15&amp;'Gas Useage'!$B$4:$B$15,_xlfn.XLOOKUP($C16&amp;F$14,'Gas Useage'!$C$2:$AB$2&amp;'Gas Useage'!$C$3:$AB$3,'Gas Useage'!$C$4:$AB$15))*$C$55/2000/1000+'PMCOND Simple'!F16</f>
        <v>9.8411923217084654E-2</v>
      </c>
      <c r="G16" s="255" cm="1">
        <f t="array" aca="1" ref="G16" ca="1">_xlfn.XLOOKUP($B16&amp;G$15,'Gas Useage'!$A$4:$A$15&amp;'Gas Useage'!$B$4:$B$15,_xlfn.XLOOKUP($C16&amp;G$14,'Gas Useage'!$C$2:$AB$2&amp;'Gas Useage'!$C$3:$AB$3,'Gas Useage'!$C$4:$AB$15))*$C$55/2000/1000+'PMCOND Simple'!G16</f>
        <v>8.7036614135502285E-3</v>
      </c>
      <c r="H16" s="256" t="s">
        <v>278</v>
      </c>
      <c r="I16" s="256" t="s">
        <v>278</v>
      </c>
      <c r="J16" s="256" t="s">
        <v>278</v>
      </c>
      <c r="K16" s="257" t="s">
        <v>278</v>
      </c>
      <c r="N16" s="258"/>
    </row>
    <row r="17" spans="2:14" ht="13.5" hidden="1" x14ac:dyDescent="0.25">
      <c r="B17" s="32">
        <v>2020</v>
      </c>
      <c r="C17" s="198" t="s">
        <v>279</v>
      </c>
      <c r="D17" s="259" cm="1">
        <f t="array" aca="1" ref="D17" ca="1">_xlfn.XLOOKUP($B17&amp;D$15,'Gas Useage'!$A$4:$A$15&amp;'Gas Useage'!$B$4:$B$15,_xlfn.XLOOKUP($C17&amp;D$14,'Gas Useage'!$C$2:$AB$2&amp;'Gas Useage'!$C$3:$AB$3,'Gas Useage'!$C$4:$AB$15))*$C$55/2000/1000+'PMCOND Simple'!D17</f>
        <v>0.12462027605751708</v>
      </c>
      <c r="E17" s="259" cm="1">
        <f t="array" aca="1" ref="E17" ca="1">_xlfn.XLOOKUP($B17&amp;E$15,'Gas Useage'!$A$4:$A$15&amp;'Gas Useage'!$B$4:$B$15,_xlfn.XLOOKUP($C17&amp;E$14,'Gas Useage'!$C$2:$AB$2&amp;'Gas Useage'!$C$3:$AB$3,'Gas Useage'!$C$4:$AB$15))*$C$55/2000/1000+'PMCOND Simple'!E17</f>
        <v>1.3796695547184634E-2</v>
      </c>
      <c r="F17" s="259" cm="1">
        <f t="array" aca="1" ref="F17" ca="1">_xlfn.XLOOKUP($B17&amp;F$15,'Gas Useage'!$A$4:$A$15&amp;'Gas Useage'!$B$4:$B$15,_xlfn.XLOOKUP($C17&amp;F$14,'Gas Useage'!$C$2:$AB$2&amp;'Gas Useage'!$C$3:$AB$3,'Gas Useage'!$C$4:$AB$15))*$C$55/2000/1000+'PMCOND Simple'!F17</f>
        <v>0.10164012558645028</v>
      </c>
      <c r="G17" s="259" cm="1">
        <f t="array" aca="1" ref="G17" ca="1">_xlfn.XLOOKUP($B17&amp;G$15,'Gas Useage'!$A$4:$A$15&amp;'Gas Useage'!$B$4:$B$15,_xlfn.XLOOKUP($C17&amp;G$14,'Gas Useage'!$C$2:$AB$2&amp;'Gas Useage'!$C$3:$AB$3,'Gas Useage'!$C$4:$AB$15))*$C$55/2000/1000+'PMCOND Simple'!G17</f>
        <v>1.1252565894226163E-2</v>
      </c>
      <c r="H17" s="260" t="s">
        <v>278</v>
      </c>
      <c r="I17" s="260" t="s">
        <v>278</v>
      </c>
      <c r="J17" s="260" t="s">
        <v>278</v>
      </c>
      <c r="K17" s="261" t="s">
        <v>278</v>
      </c>
      <c r="N17" s="258"/>
    </row>
    <row r="18" spans="2:14" ht="13.5" hidden="1" x14ac:dyDescent="0.25">
      <c r="B18" s="32">
        <v>2020</v>
      </c>
      <c r="C18" s="198" t="s">
        <v>280</v>
      </c>
      <c r="D18" s="259" cm="1">
        <f t="array" aca="1" ref="D18" ca="1">_xlfn.XLOOKUP($B18&amp;D$15,'Gas Useage'!$A$4:$A$15&amp;'Gas Useage'!$B$4:$B$15,_xlfn.XLOOKUP($C18&amp;D$14,'Gas Useage'!$C$2:$AB$2&amp;'Gas Useage'!$C$3:$AB$3,'Gas Useage'!$C$4:$AB$15))*$C$55/2000/1000+'PMCOND Simple'!D18</f>
        <v>0.12719899832622839</v>
      </c>
      <c r="E18" s="259" cm="1">
        <f t="array" aca="1" ref="E18" ca="1">_xlfn.XLOOKUP($B18&amp;E$15,'Gas Useage'!$A$4:$A$15&amp;'Gas Useage'!$B$4:$B$15,_xlfn.XLOOKUP($C18&amp;E$14,'Gas Useage'!$C$2:$AB$2&amp;'Gas Useage'!$C$3:$AB$3,'Gas Useage'!$C$4:$AB$15))*$C$55/2000/1000+'PMCOND Simple'!E18</f>
        <v>1.4707962570582236E-2</v>
      </c>
      <c r="F18" s="259" cm="1">
        <f t="array" aca="1" ref="F18" ca="1">_xlfn.XLOOKUP($B18&amp;F$15,'Gas Useage'!$A$4:$A$15&amp;'Gas Useage'!$B$4:$B$15,_xlfn.XLOOKUP($C18&amp;F$14,'Gas Useage'!$C$2:$AB$2&amp;'Gas Useage'!$C$3:$AB$3,'Gas Useage'!$C$4:$AB$15))*$C$55/2000/1000+'PMCOND Simple'!F18</f>
        <v>7.9066605707428211E-2</v>
      </c>
      <c r="G18" s="259" cm="1">
        <f t="array" aca="1" ref="G18" ca="1">_xlfn.XLOOKUP($B18&amp;G$15,'Gas Useage'!$A$4:$A$15&amp;'Gas Useage'!$B$4:$B$15,_xlfn.XLOOKUP($C18&amp;G$14,'Gas Useage'!$C$2:$AB$2&amp;'Gas Useage'!$C$3:$AB$3,'Gas Useage'!$C$4:$AB$15))*$C$55/2000/1000+'PMCOND Simple'!G18</f>
        <v>9.1424358102672795E-3</v>
      </c>
      <c r="H18" s="260" t="s">
        <v>278</v>
      </c>
      <c r="I18" s="260" t="s">
        <v>278</v>
      </c>
      <c r="J18" s="260" t="s">
        <v>278</v>
      </c>
      <c r="K18" s="261" t="s">
        <v>278</v>
      </c>
      <c r="N18" s="258"/>
    </row>
    <row r="19" spans="2:14" ht="13.5" hidden="1" x14ac:dyDescent="0.25">
      <c r="B19" s="32">
        <v>2020</v>
      </c>
      <c r="C19" s="198" t="s">
        <v>281</v>
      </c>
      <c r="D19" s="259" cm="1">
        <f t="array" aca="1" ref="D19" ca="1">_xlfn.XLOOKUP($B19&amp;D$15,'Gas Useage'!$A$4:$A$15&amp;'Gas Useage'!$B$4:$B$15,_xlfn.XLOOKUP($C19&amp;D$14,'Gas Useage'!$C$2:$AB$2&amp;'Gas Useage'!$C$3:$AB$3,'Gas Useage'!$C$4:$AB$15))*$C$55/2000/1000+'PMCOND Simple'!D19</f>
        <v>4.9289412408071151E-2</v>
      </c>
      <c r="E19" s="259" cm="1">
        <f t="array" aca="1" ref="E19" ca="1">_xlfn.XLOOKUP($B19&amp;E$15,'Gas Useage'!$A$4:$A$15&amp;'Gas Useage'!$B$4:$B$15,_xlfn.XLOOKUP($C19&amp;E$14,'Gas Useage'!$C$2:$AB$2&amp;'Gas Useage'!$C$3:$AB$3,'Gas Useage'!$C$4:$AB$15))*$C$55/2000/1000+'PMCOND Simple'!E19</f>
        <v>5.832455478125856E-3</v>
      </c>
      <c r="F19" s="259" cm="1">
        <f t="array" aca="1" ref="F19" ca="1">_xlfn.XLOOKUP($B19&amp;F$15,'Gas Useage'!$A$4:$A$15&amp;'Gas Useage'!$B$4:$B$15,_xlfn.XLOOKUP($C19&amp;F$14,'Gas Useage'!$C$2:$AB$2&amp;'Gas Useage'!$C$3:$AB$3,'Gas Useage'!$C$4:$AB$15))*$C$55/2000/1000+'PMCOND Simple'!F19</f>
        <v>4.9454094708131502E-2</v>
      </c>
      <c r="G19" s="259" cm="1">
        <f t="array" aca="1" ref="G19" ca="1">_xlfn.XLOOKUP($B19&amp;G$15,'Gas Useage'!$A$4:$A$15&amp;'Gas Useage'!$B$4:$B$15,_xlfn.XLOOKUP($C19&amp;G$14,'Gas Useage'!$C$2:$AB$2&amp;'Gas Useage'!$C$3:$AB$3,'Gas Useage'!$C$4:$AB$15))*$C$55/2000/1000+'PMCOND Simple'!G19</f>
        <v>5.8519424660247047E-3</v>
      </c>
      <c r="H19" s="260" t="s">
        <v>278</v>
      </c>
      <c r="I19" s="260" t="s">
        <v>278</v>
      </c>
      <c r="J19" s="260" t="s">
        <v>278</v>
      </c>
      <c r="K19" s="261" t="s">
        <v>278</v>
      </c>
      <c r="N19" s="258"/>
    </row>
    <row r="20" spans="2:14" ht="13.5" hidden="1" x14ac:dyDescent="0.25">
      <c r="B20" s="32">
        <v>2020</v>
      </c>
      <c r="C20" s="198" t="s">
        <v>282</v>
      </c>
      <c r="D20" s="259" cm="1">
        <f t="array" aca="1" ref="D20" ca="1">_xlfn.XLOOKUP($B20&amp;D$15,'Gas Useage'!$A$4:$A$15&amp;'Gas Useage'!$B$4:$B$15,_xlfn.XLOOKUP($C20&amp;D$14,'Gas Useage'!$C$2:$AB$2&amp;'Gas Useage'!$C$3:$AB$3,'Gas Useage'!$C$4:$AB$15))*$C$55/2000/1000+'PMCOND Simple'!D20</f>
        <v>3.0893397273738755E-3</v>
      </c>
      <c r="E20" s="259" cm="1">
        <f t="array" aca="1" ref="E20" ca="1">_xlfn.XLOOKUP($B20&amp;E$15,'Gas Useage'!$A$4:$A$15&amp;'Gas Useage'!$B$4:$B$15,_xlfn.XLOOKUP($C20&amp;E$14,'Gas Useage'!$C$2:$AB$2&amp;'Gas Useage'!$C$3:$AB$3,'Gas Useage'!$C$4:$AB$15))*$C$55/2000/1000+'PMCOND Simple'!E20</f>
        <v>2.1304211205946401E-4</v>
      </c>
      <c r="F20" s="259" cm="1">
        <f t="array" aca="1" ref="F20" ca="1">_xlfn.XLOOKUP($B20&amp;F$15,'Gas Useage'!$A$4:$A$15&amp;'Gas Useage'!$B$4:$B$15,_xlfn.XLOOKUP($C20&amp;F$14,'Gas Useage'!$C$2:$AB$2&amp;'Gas Useage'!$C$3:$AB$3,'Gas Useage'!$C$4:$AB$15))*$C$55/2000/1000+'PMCOND Simple'!F20</f>
        <v>1.4924018796738156E-6</v>
      </c>
      <c r="G20" s="259" cm="1">
        <f t="array" aca="1" ref="G20" ca="1">_xlfn.XLOOKUP($B20&amp;G$15,'Gas Useage'!$A$4:$A$15&amp;'Gas Useage'!$B$4:$B$15,_xlfn.XLOOKUP($C20&amp;G$14,'Gas Useage'!$C$2:$AB$2&amp;'Gas Useage'!$C$3:$AB$3,'Gas Useage'!$C$4:$AB$15))*$C$55/2000/1000+'PMCOND Simple'!G20</f>
        <v>1.0291663479739592E-7</v>
      </c>
      <c r="H20" s="260" t="s">
        <v>278</v>
      </c>
      <c r="I20" s="260" t="s">
        <v>278</v>
      </c>
      <c r="J20" s="260" t="s">
        <v>278</v>
      </c>
      <c r="K20" s="261" t="s">
        <v>278</v>
      </c>
      <c r="N20" s="258"/>
    </row>
    <row r="21" spans="2:14" ht="13.5" hidden="1" x14ac:dyDescent="0.25">
      <c r="B21" s="32">
        <v>2020</v>
      </c>
      <c r="C21" s="198" t="s">
        <v>283</v>
      </c>
      <c r="D21" s="259" cm="1">
        <f t="array" aca="1" ref="D21" ca="1">_xlfn.XLOOKUP($B21&amp;D$15,'Gas Useage'!$A$4:$A$15&amp;'Gas Useage'!$B$4:$B$15,_xlfn.XLOOKUP($C21&amp;D$14,'Gas Useage'!$C$2:$AB$2&amp;'Gas Useage'!$C$3:$AB$3,'Gas Useage'!$C$4:$AB$15))*$C$55/2000/1000+'PMCOND Simple'!D21</f>
        <v>0</v>
      </c>
      <c r="E21" s="259" cm="1">
        <f t="array" aca="1" ref="E21" ca="1">_xlfn.XLOOKUP($B21&amp;E$15,'Gas Useage'!$A$4:$A$15&amp;'Gas Useage'!$B$4:$B$15,_xlfn.XLOOKUP($C21&amp;E$14,'Gas Useage'!$C$2:$AB$2&amp;'Gas Useage'!$C$3:$AB$3,'Gas Useage'!$C$4:$AB$15))*$C$55/2000/1000+'PMCOND Simple'!E21</f>
        <v>0</v>
      </c>
      <c r="F21" s="259" cm="1">
        <f t="array" aca="1" ref="F21" ca="1">_xlfn.XLOOKUP($B21&amp;F$15,'Gas Useage'!$A$4:$A$15&amp;'Gas Useage'!$B$4:$B$15,_xlfn.XLOOKUP($C21&amp;F$14,'Gas Useage'!$C$2:$AB$2&amp;'Gas Useage'!$C$3:$AB$3,'Gas Useage'!$C$4:$AB$15))*$C$55/2000/1000+'PMCOND Simple'!F21</f>
        <v>0</v>
      </c>
      <c r="G21" s="259" cm="1">
        <f t="array" aca="1" ref="G21" ca="1">_xlfn.XLOOKUP($B21&amp;G$15,'Gas Useage'!$A$4:$A$15&amp;'Gas Useage'!$B$4:$B$15,_xlfn.XLOOKUP($C21&amp;G$14,'Gas Useage'!$C$2:$AB$2&amp;'Gas Useage'!$C$3:$AB$3,'Gas Useage'!$C$4:$AB$15))*$C$55/2000/1000+'PMCOND Simple'!G21</f>
        <v>0</v>
      </c>
      <c r="H21" s="260" t="s">
        <v>278</v>
      </c>
      <c r="I21" s="260" t="s">
        <v>278</v>
      </c>
      <c r="J21" s="260" t="s">
        <v>278</v>
      </c>
      <c r="K21" s="261" t="s">
        <v>278</v>
      </c>
      <c r="N21" s="258"/>
    </row>
    <row r="22" spans="2:14" ht="13.5" hidden="1" x14ac:dyDescent="0.25">
      <c r="B22" s="32">
        <v>2020</v>
      </c>
      <c r="C22" s="198" t="s">
        <v>284</v>
      </c>
      <c r="D22" s="259" cm="1">
        <f t="array" aca="1" ref="D22" ca="1">_xlfn.XLOOKUP($B22&amp;D$15,'Gas Useage'!$A$4:$A$15&amp;'Gas Useage'!$B$4:$B$15,_xlfn.XLOOKUP($C22&amp;D$14,'Gas Useage'!$C$2:$AB$2&amp;'Gas Useage'!$C$3:$AB$3,'Gas Useage'!$C$4:$AB$15))*$C$55/2000/1000+'PMCOND Simple'!D22</f>
        <v>0.12420157799930348</v>
      </c>
      <c r="E22" s="259" cm="1">
        <f t="array" aca="1" ref="E22" ca="1">_xlfn.XLOOKUP($B22&amp;E$15,'Gas Useage'!$A$4:$A$15&amp;'Gas Useage'!$B$4:$B$15,_xlfn.XLOOKUP($C22&amp;E$14,'Gas Useage'!$C$2:$AB$2&amp;'Gas Useage'!$C$3:$AB$3,'Gas Useage'!$C$4:$AB$15))*$C$55/2000/1000+'PMCOND Simple'!E22</f>
        <v>1.366292261565534E-2</v>
      </c>
      <c r="F22" s="259" cm="1">
        <f t="array" aca="1" ref="F22" ca="1">_xlfn.XLOOKUP($B22&amp;F$15,'Gas Useage'!$A$4:$A$15&amp;'Gas Useage'!$B$4:$B$15,_xlfn.XLOOKUP($C22&amp;F$14,'Gas Useage'!$C$2:$AB$2&amp;'Gas Useage'!$C$3:$AB$3,'Gas Useage'!$C$4:$AB$15))*$C$55/2000/1000+'PMCOND Simple'!F22</f>
        <v>7.8067645557409152E-2</v>
      </c>
      <c r="G22" s="259" cm="1">
        <f t="array" aca="1" ref="G22" ca="1">_xlfn.XLOOKUP($B22&amp;G$15,'Gas Useage'!$A$4:$A$15&amp;'Gas Useage'!$B$4:$B$15,_xlfn.XLOOKUP($C22&amp;G$14,'Gas Useage'!$C$2:$AB$2&amp;'Gas Useage'!$C$3:$AB$3,'Gas Useage'!$C$4:$AB$15))*$C$55/2000/1000+'PMCOND Simple'!G22</f>
        <v>8.5879118222094743E-3</v>
      </c>
      <c r="H22" s="260" t="s">
        <v>278</v>
      </c>
      <c r="I22" s="260" t="s">
        <v>278</v>
      </c>
      <c r="J22" s="260" t="s">
        <v>278</v>
      </c>
      <c r="K22" s="261" t="s">
        <v>278</v>
      </c>
      <c r="N22" s="258"/>
    </row>
    <row r="23" spans="2:14" ht="13.5" hidden="1" x14ac:dyDescent="0.25">
      <c r="B23" s="32">
        <v>2020</v>
      </c>
      <c r="C23" s="198" t="s">
        <v>285</v>
      </c>
      <c r="D23" s="259" cm="1">
        <f t="array" aca="1" ref="D23" ca="1">_xlfn.XLOOKUP($B23&amp;D$15,'Gas Useage'!$A$4:$A$15&amp;'Gas Useage'!$B$4:$B$15,_xlfn.XLOOKUP($C23&amp;D$14,'Gas Useage'!$C$2:$AB$2&amp;'Gas Useage'!$C$3:$AB$3,'Gas Useage'!$C$4:$AB$15))*$C$55/2000/1000+'PMCOND Simple'!D23</f>
        <v>0.12492251306184626</v>
      </c>
      <c r="E23" s="259" cm="1">
        <f t="array" aca="1" ref="E23" ca="1">_xlfn.XLOOKUP($B23&amp;E$15,'Gas Useage'!$A$4:$A$15&amp;'Gas Useage'!$B$4:$B$15,_xlfn.XLOOKUP($C23&amp;E$14,'Gas Useage'!$C$2:$AB$2&amp;'Gas Useage'!$C$3:$AB$3,'Gas Useage'!$C$4:$AB$15))*$C$55/2000/1000+'PMCOND Simple'!E23</f>
        <v>1.0448982754391833E-2</v>
      </c>
      <c r="F23" s="259" cm="1">
        <f t="array" aca="1" ref="F23" ca="1">_xlfn.XLOOKUP($B23&amp;F$15,'Gas Useage'!$A$4:$A$15&amp;'Gas Useage'!$B$4:$B$15,_xlfn.XLOOKUP($C23&amp;F$14,'Gas Useage'!$C$2:$AB$2&amp;'Gas Useage'!$C$3:$AB$3,'Gas Useage'!$C$4:$AB$15))*$C$55/2000/1000+'PMCOND Simple'!F23</f>
        <v>1.4472865109379531E-2</v>
      </c>
      <c r="G23" s="259" cm="1">
        <f t="array" aca="1" ref="G23" ca="1">_xlfn.XLOOKUP($B23&amp;G$15,'Gas Useage'!$A$4:$A$15&amp;'Gas Useage'!$B$4:$B$15,_xlfn.XLOOKUP($C23&amp;G$14,'Gas Useage'!$C$2:$AB$2&amp;'Gas Useage'!$C$3:$AB$3,'Gas Useage'!$C$4:$AB$15))*$C$55/2000/1000+'PMCOND Simple'!G23</f>
        <v>1.2105641667621357E-3</v>
      </c>
      <c r="H23" s="260" t="s">
        <v>278</v>
      </c>
      <c r="I23" s="260" t="s">
        <v>278</v>
      </c>
      <c r="J23" s="260" t="s">
        <v>278</v>
      </c>
      <c r="K23" s="261" t="s">
        <v>278</v>
      </c>
      <c r="N23" s="258"/>
    </row>
    <row r="24" spans="2:14" ht="13.5" hidden="1" x14ac:dyDescent="0.25">
      <c r="B24" s="32">
        <v>2020</v>
      </c>
      <c r="C24" s="198" t="s">
        <v>286</v>
      </c>
      <c r="D24" s="259" cm="1">
        <f t="array" aca="1" ref="D24" ca="1">_xlfn.XLOOKUP($B24&amp;D$15,'Gas Useage'!$A$4:$A$15&amp;'Gas Useage'!$B$4:$B$15,_xlfn.XLOOKUP($C24&amp;D$14,'Gas Useage'!$C$2:$AB$2&amp;'Gas Useage'!$C$3:$AB$3,'Gas Useage'!$C$4:$AB$15))*$C$55/2000/1000+'PMCOND Simple'!D24</f>
        <v>3.4294037033065043E-2</v>
      </c>
      <c r="E24" s="259" cm="1">
        <f t="array" aca="1" ref="E24" ca="1">_xlfn.XLOOKUP($B24&amp;E$15,'Gas Useage'!$A$4:$A$15&amp;'Gas Useage'!$B$4:$B$15,_xlfn.XLOOKUP($C24&amp;E$14,'Gas Useage'!$C$2:$AB$2&amp;'Gas Useage'!$C$3:$AB$3,'Gas Useage'!$C$4:$AB$15))*$C$55/2000/1000+'PMCOND Simple'!E24</f>
        <v>4.6793599682934742E-3</v>
      </c>
      <c r="F24" s="259" cm="1">
        <f t="array" aca="1" ref="F24" ca="1">_xlfn.XLOOKUP($B24&amp;F$15,'Gas Useage'!$A$4:$A$15&amp;'Gas Useage'!$B$4:$B$15,_xlfn.XLOOKUP($C24&amp;F$14,'Gas Useage'!$C$2:$AB$2&amp;'Gas Useage'!$C$3:$AB$3,'Gas Useage'!$C$4:$AB$15))*$C$55/2000/1000+'PMCOND Simple'!F24</f>
        <v>2.3477476937647834E-4</v>
      </c>
      <c r="G24" s="259" cm="1">
        <f t="array" aca="1" ref="G24" ca="1">_xlfn.XLOOKUP($B24&amp;G$15,'Gas Useage'!$A$4:$A$15&amp;'Gas Useage'!$B$4:$B$15,_xlfn.XLOOKUP($C24&amp;G$14,'Gas Useage'!$C$2:$AB$2&amp;'Gas Useage'!$C$3:$AB$3,'Gas Useage'!$C$4:$AB$15))*$C$55/2000/1000+'PMCOND Simple'!G24</f>
        <v>3.2034597044564929E-5</v>
      </c>
      <c r="H24" s="260" t="s">
        <v>278</v>
      </c>
      <c r="I24" s="260" t="s">
        <v>278</v>
      </c>
      <c r="J24" s="260" t="s">
        <v>278</v>
      </c>
      <c r="K24" s="261" t="s">
        <v>278</v>
      </c>
      <c r="N24" s="258"/>
    </row>
    <row r="25" spans="2:14" ht="13.5" x14ac:dyDescent="0.25">
      <c r="B25" s="32">
        <v>2020</v>
      </c>
      <c r="C25" s="494" t="s">
        <v>287</v>
      </c>
      <c r="D25" s="259" cm="1">
        <f t="array" aca="1" ref="D25" ca="1">_xlfn.XLOOKUP($B25&amp;D$15,'Gas Useage'!$A$4:$A$15&amp;'Gas Useage'!$B$4:$B$15,_xlfn.XLOOKUP($C25&amp;D$14,'Gas Useage'!$C$2:$AB$2&amp;'Gas Useage'!$C$3:$AB$3,'Gas Useage'!$C$4:$AB$15))*$C$55/2000/1000+'PMCOND Simple'!D25</f>
        <v>3.9891385111309081E-2</v>
      </c>
      <c r="E25" s="259" cm="1">
        <f t="array" aca="1" ref="E25" ca="1">_xlfn.XLOOKUP($B25&amp;E$15,'Gas Useage'!$A$4:$A$15&amp;'Gas Useage'!$B$4:$B$15,_xlfn.XLOOKUP($C25&amp;E$14,'Gas Useage'!$C$2:$AB$2&amp;'Gas Useage'!$C$3:$AB$3,'Gas Useage'!$C$4:$AB$15))*$C$55/2000/1000+'PMCOND Simple'!E25</f>
        <v>3.8003416006154008E-3</v>
      </c>
      <c r="F25" s="259" cm="1">
        <f t="array" aca="1" ref="F25" ca="1">_xlfn.XLOOKUP($B25&amp;F$15,'Gas Useage'!$A$4:$A$15&amp;'Gas Useage'!$B$4:$B$15,_xlfn.XLOOKUP($C25&amp;F$14,'Gas Useage'!$C$2:$AB$2&amp;'Gas Useage'!$C$3:$AB$3,'Gas Useage'!$C$4:$AB$15))*$C$55/2000/1000+'PMCOND Simple'!F25</f>
        <v>9.2255122998961644E-2</v>
      </c>
      <c r="G25" s="259" cm="1">
        <f t="array" aca="1" ref="G25" ca="1">_xlfn.XLOOKUP($B25&amp;G$15,'Gas Useage'!$A$4:$A$15&amp;'Gas Useage'!$B$4:$B$15,_xlfn.XLOOKUP($C25&amp;G$14,'Gas Useage'!$C$2:$AB$2&amp;'Gas Useage'!$C$3:$AB$3,'Gas Useage'!$C$4:$AB$15))*$C$55/2000/1000+'PMCOND Simple'!G25</f>
        <v>8.7888896518524325E-3</v>
      </c>
      <c r="H25" s="260" t="s">
        <v>278</v>
      </c>
      <c r="I25" s="260" t="s">
        <v>278</v>
      </c>
      <c r="J25" s="260" t="s">
        <v>278</v>
      </c>
      <c r="K25" s="261" t="s">
        <v>278</v>
      </c>
      <c r="N25" s="258"/>
    </row>
    <row r="26" spans="2:14" ht="13.5" x14ac:dyDescent="0.25">
      <c r="B26" s="32">
        <v>2020</v>
      </c>
      <c r="C26" s="494" t="s">
        <v>288</v>
      </c>
      <c r="D26" s="259" cm="1">
        <f t="array" aca="1" ref="D26" ca="1">_xlfn.XLOOKUP($B26&amp;D$15,'Gas Useage'!$A$4:$A$15&amp;'Gas Useage'!$B$4:$B$15,_xlfn.XLOOKUP($C26&amp;D$14,'Gas Useage'!$C$2:$AB$2&amp;'Gas Useage'!$C$3:$AB$3,'Gas Useage'!$C$4:$AB$15))*$C$55/2000/1000+'PMCOND Simple'!D26</f>
        <v>8.6013887996961719E-2</v>
      </c>
      <c r="E26" s="259" cm="1">
        <f t="array" aca="1" ref="E26" ca="1">_xlfn.XLOOKUP($B26&amp;E$15,'Gas Useage'!$A$4:$A$15&amp;'Gas Useage'!$B$4:$B$15,_xlfn.XLOOKUP($C26&amp;E$14,'Gas Useage'!$C$2:$AB$2&amp;'Gas Useage'!$C$3:$AB$3,'Gas Useage'!$C$4:$AB$15))*$C$55/2000/1000+'PMCOND Simple'!E26</f>
        <v>1.1070293349824862E-2</v>
      </c>
      <c r="F26" s="259" cm="1">
        <f t="array" aca="1" ref="F26" ca="1">_xlfn.XLOOKUP($B26&amp;F$15,'Gas Useage'!$A$4:$A$15&amp;'Gas Useage'!$B$4:$B$15,_xlfn.XLOOKUP($C26&amp;F$14,'Gas Useage'!$C$2:$AB$2&amp;'Gas Useage'!$C$3:$AB$3,'Gas Useage'!$C$4:$AB$15))*$C$55/2000/1000+'PMCOND Simple'!F26</f>
        <v>0.13019996786843044</v>
      </c>
      <c r="G26" s="259" cm="1">
        <f t="array" aca="1" ref="G26" ca="1">_xlfn.XLOOKUP($B26&amp;G$15,'Gas Useage'!$A$4:$A$15&amp;'Gas Useage'!$B$4:$B$15,_xlfn.XLOOKUP($C26&amp;G$14,'Gas Useage'!$C$2:$AB$2&amp;'Gas Useage'!$C$3:$AB$3,'Gas Useage'!$C$4:$AB$15))*$C$55/2000/1000+'PMCOND Simple'!G26</f>
        <v>1.6757199005958311E-2</v>
      </c>
      <c r="H26" s="260" t="s">
        <v>278</v>
      </c>
      <c r="I26" s="260" t="s">
        <v>278</v>
      </c>
      <c r="J26" s="260" t="s">
        <v>278</v>
      </c>
      <c r="K26" s="261" t="s">
        <v>278</v>
      </c>
      <c r="N26" s="258"/>
    </row>
    <row r="27" spans="2:14" ht="13.5" x14ac:dyDescent="0.25">
      <c r="B27" s="32">
        <v>2020</v>
      </c>
      <c r="C27" s="494" t="s">
        <v>289</v>
      </c>
      <c r="D27" s="259" cm="1">
        <f t="array" aca="1" ref="D27" ca="1">_xlfn.XLOOKUP($B27&amp;D$15,'Gas Useage'!$A$4:$A$15&amp;'Gas Useage'!$B$4:$B$15,_xlfn.XLOOKUP($C27&amp;D$14,'Gas Useage'!$C$2:$AB$2&amp;'Gas Useage'!$C$3:$AB$3,'Gas Useage'!$C$4:$AB$15))*$C$55/2000/1000+'PMCOND Simple'!D27</f>
        <v>8.6013887996961719E-2</v>
      </c>
      <c r="E27" s="259" cm="1">
        <f t="array" aca="1" ref="E27" ca="1">_xlfn.XLOOKUP($B27&amp;E$15,'Gas Useage'!$A$4:$A$15&amp;'Gas Useage'!$B$4:$B$15,_xlfn.XLOOKUP($C27&amp;E$14,'Gas Useage'!$C$2:$AB$2&amp;'Gas Useage'!$C$3:$AB$3,'Gas Useage'!$C$4:$AB$15))*$C$55/2000/1000+'PMCOND Simple'!E27</f>
        <v>1.1070293349824862E-2</v>
      </c>
      <c r="F27" s="259" cm="1">
        <f t="array" aca="1" ref="F27" ca="1">_xlfn.XLOOKUP($B27&amp;F$15,'Gas Useage'!$A$4:$A$15&amp;'Gas Useage'!$B$4:$B$15,_xlfn.XLOOKUP($C27&amp;F$14,'Gas Useage'!$C$2:$AB$2&amp;'Gas Useage'!$C$3:$AB$3,'Gas Useage'!$C$4:$AB$15))*$C$55/2000/1000+'PMCOND Simple'!F27</f>
        <v>0.13019996786843044</v>
      </c>
      <c r="G27" s="259" cm="1">
        <f t="array" aca="1" ref="G27" ca="1">_xlfn.XLOOKUP($B27&amp;G$15,'Gas Useage'!$A$4:$A$15&amp;'Gas Useage'!$B$4:$B$15,_xlfn.XLOOKUP($C27&amp;G$14,'Gas Useage'!$C$2:$AB$2&amp;'Gas Useage'!$C$3:$AB$3,'Gas Useage'!$C$4:$AB$15))*$C$55/2000/1000+'PMCOND Simple'!G27</f>
        <v>1.6757199005958311E-2</v>
      </c>
      <c r="H27" s="260" t="s">
        <v>278</v>
      </c>
      <c r="I27" s="260" t="s">
        <v>278</v>
      </c>
      <c r="J27" s="260" t="s">
        <v>278</v>
      </c>
      <c r="K27" s="261" t="s">
        <v>278</v>
      </c>
      <c r="N27" s="258"/>
    </row>
    <row r="28" spans="2:14" ht="13.5" x14ac:dyDescent="0.25">
      <c r="B28" s="32">
        <v>2021</v>
      </c>
      <c r="C28" s="494" t="s">
        <v>277</v>
      </c>
      <c r="D28" s="259" cm="1">
        <f t="array" aca="1" ref="D28" ca="1">_xlfn.XLOOKUP($B28&amp;D$15,'Gas Useage'!$A$4:$A$15&amp;'Gas Useage'!$B$4:$B$15,_xlfn.XLOOKUP($C28&amp;D$14,'Gas Useage'!$C$2:$AB$2&amp;'Gas Useage'!$C$3:$AB$3,'Gas Useage'!$C$4:$AB$15))*$C$55/2000/1000+'PMCOND Simple'!D28</f>
        <v>0.12480638556384008</v>
      </c>
      <c r="E28" s="259" cm="1">
        <f t="array" aca="1" ref="E28" ca="1">_xlfn.XLOOKUP($B28&amp;E$15,'Gas Useage'!$A$4:$A$15&amp;'Gas Useage'!$B$4:$B$15,_xlfn.XLOOKUP($C28&amp;E$14,'Gas Useage'!$C$2:$AB$2&amp;'Gas Useage'!$C$3:$AB$3,'Gas Useage'!$C$4:$AB$15))*$C$55/2000/1000+'PMCOND Simple'!E28</f>
        <v>5.2665095701475342E-3</v>
      </c>
      <c r="F28" s="259" cm="1">
        <f t="array" aca="1" ref="F28" ca="1">_xlfn.XLOOKUP($B28&amp;F$15,'Gas Useage'!$A$4:$A$15&amp;'Gas Useage'!$B$4:$B$15,_xlfn.XLOOKUP($C28&amp;F$14,'Gas Useage'!$C$2:$AB$2&amp;'Gas Useage'!$C$3:$AB$3,'Gas Useage'!$C$4:$AB$15))*$C$55/2000/1000+'PMCOND Simple'!F28</f>
        <v>0.15460984692174426</v>
      </c>
      <c r="G28" s="259" cm="1">
        <f t="array" aca="1" ref="G28" ca="1">_xlfn.XLOOKUP($B28&amp;G$15,'Gas Useage'!$A$4:$A$15&amp;'Gas Useage'!$B$4:$B$15,_xlfn.XLOOKUP($C28&amp;G$14,'Gas Useage'!$C$2:$AB$2&amp;'Gas Useage'!$C$3:$AB$3,'Gas Useage'!$C$4:$AB$15))*$C$55/2000/1000+'PMCOND Simple'!G28</f>
        <v>6.5241392479546655E-3</v>
      </c>
      <c r="H28" s="260" t="s">
        <v>278</v>
      </c>
      <c r="I28" s="260" t="s">
        <v>278</v>
      </c>
      <c r="J28" s="260" t="s">
        <v>278</v>
      </c>
      <c r="K28" s="261" t="s">
        <v>278</v>
      </c>
      <c r="N28" s="258"/>
    </row>
    <row r="29" spans="2:14" ht="13.5" x14ac:dyDescent="0.25">
      <c r="B29" s="32">
        <v>2021</v>
      </c>
      <c r="C29" s="494" t="s">
        <v>279</v>
      </c>
      <c r="D29" s="259" cm="1">
        <f t="array" aca="1" ref="D29" ca="1">_xlfn.XLOOKUP($B29&amp;D$15,'Gas Useage'!$A$4:$A$15&amp;'Gas Useage'!$B$4:$B$15,_xlfn.XLOOKUP($C29&amp;D$14,'Gas Useage'!$C$2:$AB$2&amp;'Gas Useage'!$C$3:$AB$3,'Gas Useage'!$C$4:$AB$15))*$C$55/2000/1000+'PMCOND Simple'!D29</f>
        <v>8.4705669238776676E-2</v>
      </c>
      <c r="E29" s="259" cm="1">
        <f t="array" aca="1" ref="E29" ca="1">_xlfn.XLOOKUP($B29&amp;E$15,'Gas Useage'!$A$4:$A$15&amp;'Gas Useage'!$B$4:$B$15,_xlfn.XLOOKUP($C29&amp;E$14,'Gas Useage'!$C$2:$AB$2&amp;'Gas Useage'!$C$3:$AB$3,'Gas Useage'!$C$4:$AB$15))*$C$55/2000/1000+'PMCOND Simple'!E29</f>
        <v>7.6198005110658636E-3</v>
      </c>
      <c r="F29" s="259" cm="1">
        <f t="array" aca="1" ref="F29" ca="1">_xlfn.XLOOKUP($B29&amp;F$15,'Gas Useage'!$A$4:$A$15&amp;'Gas Useage'!$B$4:$B$15,_xlfn.XLOOKUP($C29&amp;F$14,'Gas Useage'!$C$2:$AB$2&amp;'Gas Useage'!$C$3:$AB$3,'Gas Useage'!$C$4:$AB$15))*$C$55/2000/1000+'PMCOND Simple'!F29</f>
        <v>0.11614587886575969</v>
      </c>
      <c r="G29" s="259" cm="1">
        <f t="array" aca="1" ref="G29" ca="1">_xlfn.XLOOKUP($B29&amp;G$15,'Gas Useage'!$A$4:$A$15&amp;'Gas Useage'!$B$4:$B$15,_xlfn.XLOOKUP($C29&amp;G$14,'Gas Useage'!$C$2:$AB$2&amp;'Gas Useage'!$C$3:$AB$3,'Gas Useage'!$C$4:$AB$15))*$C$55/2000/1000+'PMCOND Simple'!G29</f>
        <v>1.0448042440285323E-2</v>
      </c>
      <c r="H29" s="260" t="s">
        <v>278</v>
      </c>
      <c r="I29" s="260" t="s">
        <v>278</v>
      </c>
      <c r="J29" s="260" t="s">
        <v>278</v>
      </c>
      <c r="K29" s="261" t="s">
        <v>278</v>
      </c>
      <c r="N29" s="258"/>
    </row>
    <row r="30" spans="2:14" ht="13.5" x14ac:dyDescent="0.25">
      <c r="B30" s="32">
        <v>2021</v>
      </c>
      <c r="C30" s="494" t="s">
        <v>280</v>
      </c>
      <c r="D30" s="259" cm="1">
        <f t="array" aca="1" ref="D30" ca="1">_xlfn.XLOOKUP($B30&amp;D$15,'Gas Useage'!$A$4:$A$15&amp;'Gas Useage'!$B$4:$B$15,_xlfn.XLOOKUP($C30&amp;D$14,'Gas Useage'!$C$2:$AB$2&amp;'Gas Useage'!$C$3:$AB$3,'Gas Useage'!$C$4:$AB$15))*$C$55/2000/1000+'PMCOND Simple'!D30</f>
        <v>0.17705180033468526</v>
      </c>
      <c r="E30" s="259" cm="1">
        <f t="array" aca="1" ref="E30" ca="1">_xlfn.XLOOKUP($B30&amp;E$15,'Gas Useage'!$A$4:$A$15&amp;'Gas Useage'!$B$4:$B$15,_xlfn.XLOOKUP($C30&amp;E$14,'Gas Useage'!$C$2:$AB$2&amp;'Gas Useage'!$C$3:$AB$3,'Gas Useage'!$C$4:$AB$15))*$C$55/2000/1000+'PMCOND Simple'!E30</f>
        <v>1.2452503773852151E-2</v>
      </c>
      <c r="F30" s="259" cm="1">
        <f t="array" aca="1" ref="F30" ca="1">_xlfn.XLOOKUP($B30&amp;F$15,'Gas Useage'!$A$4:$A$15&amp;'Gas Useage'!$B$4:$B$15,_xlfn.XLOOKUP($C30&amp;F$14,'Gas Useage'!$C$2:$AB$2&amp;'Gas Useage'!$C$3:$AB$3,'Gas Useage'!$C$4:$AB$15))*$C$55/2000/1000+'PMCOND Simple'!F30</f>
        <v>0.12235140466389402</v>
      </c>
      <c r="G30" s="259" cm="1">
        <f t="array" aca="1" ref="G30" ca="1">_xlfn.XLOOKUP($B30&amp;G$15,'Gas Useage'!$A$4:$A$15&amp;'Gas Useage'!$B$4:$B$15,_xlfn.XLOOKUP($C30&amp;G$14,'Gas Useage'!$C$2:$AB$2&amp;'Gas Useage'!$C$3:$AB$3,'Gas Useage'!$C$4:$AB$15))*$C$55/2000/1000+'PMCOND Simple'!G30</f>
        <v>8.6052857154414117E-3</v>
      </c>
      <c r="H30" s="260" t="s">
        <v>278</v>
      </c>
      <c r="I30" s="260" t="s">
        <v>278</v>
      </c>
      <c r="J30" s="260" t="s">
        <v>278</v>
      </c>
      <c r="K30" s="261" t="s">
        <v>278</v>
      </c>
      <c r="N30" s="258"/>
    </row>
    <row r="31" spans="2:14" ht="13.5" x14ac:dyDescent="0.25">
      <c r="B31" s="32">
        <v>2021</v>
      </c>
      <c r="C31" s="494" t="s">
        <v>281</v>
      </c>
      <c r="D31" s="259" cm="1">
        <f t="array" aca="1" ref="D31" ca="1">_xlfn.XLOOKUP($B31&amp;D$15,'Gas Useage'!$A$4:$A$15&amp;'Gas Useage'!$B$4:$B$15,_xlfn.XLOOKUP($C31&amp;D$14,'Gas Useage'!$C$2:$AB$2&amp;'Gas Useage'!$C$3:$AB$3,'Gas Useage'!$C$4:$AB$15))*$C$55/2000/1000+'PMCOND Simple'!D31</f>
        <v>7.9454524919319328E-2</v>
      </c>
      <c r="E31" s="259" cm="1">
        <f t="array" aca="1" ref="E31" ca="1">_xlfn.XLOOKUP($B31&amp;E$15,'Gas Useage'!$A$4:$A$15&amp;'Gas Useage'!$B$4:$B$15,_xlfn.XLOOKUP($C31&amp;E$14,'Gas Useage'!$C$2:$AB$2&amp;'Gas Useage'!$C$3:$AB$3,'Gas Useage'!$C$4:$AB$15))*$C$55/2000/1000+'PMCOND Simple'!E31</f>
        <v>4.5745374285070918E-3</v>
      </c>
      <c r="F31" s="259" cm="1">
        <f t="array" aca="1" ref="F31" ca="1">_xlfn.XLOOKUP($B31&amp;F$15,'Gas Useage'!$A$4:$A$15&amp;'Gas Useage'!$B$4:$B$15,_xlfn.XLOOKUP($C31&amp;F$14,'Gas Useage'!$C$2:$AB$2&amp;'Gas Useage'!$C$3:$AB$3,'Gas Useage'!$C$4:$AB$15))*$C$55/2000/1000+'PMCOND Simple'!F31</f>
        <v>0.11632082480413858</v>
      </c>
      <c r="G31" s="259" cm="1">
        <f t="array" aca="1" ref="G31" ca="1">_xlfn.XLOOKUP($B31&amp;G$15,'Gas Useage'!$A$4:$A$15&amp;'Gas Useage'!$B$4:$B$15,_xlfn.XLOOKUP($C31&amp;G$14,'Gas Useage'!$C$2:$AB$2&amp;'Gas Useage'!$C$3:$AB$3,'Gas Useage'!$C$4:$AB$15))*$C$55/2000/1000+'PMCOND Simple'!G31</f>
        <v>6.6970882693172416E-3</v>
      </c>
      <c r="H31" s="260" t="s">
        <v>278</v>
      </c>
      <c r="I31" s="260" t="s">
        <v>278</v>
      </c>
      <c r="J31" s="260" t="s">
        <v>278</v>
      </c>
      <c r="K31" s="261" t="s">
        <v>278</v>
      </c>
      <c r="N31" s="258"/>
    </row>
    <row r="32" spans="2:14" ht="13.5" x14ac:dyDescent="0.25">
      <c r="B32" s="32">
        <v>2021</v>
      </c>
      <c r="C32" s="494" t="s">
        <v>282</v>
      </c>
      <c r="D32" s="259" cm="1">
        <f t="array" aca="1" ref="D32" ca="1">_xlfn.XLOOKUP($B32&amp;D$15,'Gas Useage'!$A$4:$A$15&amp;'Gas Useage'!$B$4:$B$15,_xlfn.XLOOKUP($C32&amp;D$14,'Gas Useage'!$C$2:$AB$2&amp;'Gas Useage'!$C$3:$AB$3,'Gas Useage'!$C$4:$AB$15))*$C$55/2000/1000+'PMCOND Simple'!D32</f>
        <v>5.8024765312663706E-2</v>
      </c>
      <c r="E32" s="259" cm="1">
        <f t="array" aca="1" ref="E32" ca="1">_xlfn.XLOOKUP($B32&amp;E$15,'Gas Useage'!$A$4:$A$15&amp;'Gas Useage'!$B$4:$B$15,_xlfn.XLOOKUP($C32&amp;E$14,'Gas Useage'!$C$2:$AB$2&amp;'Gas Useage'!$C$3:$AB$3,'Gas Useage'!$C$4:$AB$15))*$C$55/2000/1000+'PMCOND Simple'!E32</f>
        <v>3.0090572863317342E-3</v>
      </c>
      <c r="F32" s="259" cm="1">
        <f t="array" aca="1" ref="F32" ca="1">_xlfn.XLOOKUP($B32&amp;F$15,'Gas Useage'!$A$4:$A$15&amp;'Gas Useage'!$B$4:$B$15,_xlfn.XLOOKUP($C32&amp;F$14,'Gas Useage'!$C$2:$AB$2&amp;'Gas Useage'!$C$3:$AB$3,'Gas Useage'!$C$4:$AB$15))*$C$55/2000/1000+'PMCOND Simple'!F32</f>
        <v>0.11194767673067579</v>
      </c>
      <c r="G32" s="259" cm="1">
        <f t="array" aca="1" ref="G32" ca="1">_xlfn.XLOOKUP($B32&amp;G$15,'Gas Useage'!$A$4:$A$15&amp;'Gas Useage'!$B$4:$B$15,_xlfn.XLOOKUP($C32&amp;G$14,'Gas Useage'!$C$2:$AB$2&amp;'Gas Useage'!$C$3:$AB$3,'Gas Useage'!$C$4:$AB$15))*$C$55/2000/1000+'PMCOND Simple'!G32</f>
        <v>5.8053999966947156E-3</v>
      </c>
      <c r="H32" s="260" t="s">
        <v>278</v>
      </c>
      <c r="I32" s="260" t="s">
        <v>278</v>
      </c>
      <c r="J32" s="260" t="s">
        <v>278</v>
      </c>
      <c r="K32" s="261" t="s">
        <v>278</v>
      </c>
      <c r="N32" s="258"/>
    </row>
    <row r="33" spans="2:14" ht="13.5" x14ac:dyDescent="0.25">
      <c r="B33" s="32">
        <v>2021</v>
      </c>
      <c r="C33" s="494" t="s">
        <v>283</v>
      </c>
      <c r="D33" s="259" cm="1">
        <f t="array" aca="1" ref="D33" ca="1">_xlfn.XLOOKUP($B33&amp;D$15,'Gas Useage'!$A$4:$A$15&amp;'Gas Useage'!$B$4:$B$15,_xlfn.XLOOKUP($C33&amp;D$14,'Gas Useage'!$C$2:$AB$2&amp;'Gas Useage'!$C$3:$AB$3,'Gas Useage'!$C$4:$AB$15))*$C$55/2000/1000+'PMCOND Simple'!D33</f>
        <v>2.6337666935761263E-2</v>
      </c>
      <c r="E33" s="259" cm="1">
        <f t="array" aca="1" ref="E33" ca="1">_xlfn.XLOOKUP($B33&amp;E$15,'Gas Useage'!$A$4:$A$15&amp;'Gas Useage'!$B$4:$B$15,_xlfn.XLOOKUP($C33&amp;E$14,'Gas Useage'!$C$2:$AB$2&amp;'Gas Useage'!$C$3:$AB$3,'Gas Useage'!$C$4:$AB$15))*$C$55/2000/1000+'PMCOND Simple'!E33</f>
        <v>1.0373237056178161E-3</v>
      </c>
      <c r="F33" s="259" cm="1">
        <f t="array" aca="1" ref="F33" ca="1">_xlfn.XLOOKUP($B33&amp;F$15,'Gas Useage'!$A$4:$A$15&amp;'Gas Useage'!$B$4:$B$15,_xlfn.XLOOKUP($C33&amp;F$14,'Gas Useage'!$C$2:$AB$2&amp;'Gas Useage'!$C$3:$AB$3,'Gas Useage'!$C$4:$AB$15))*$C$55/2000/1000+'PMCOND Simple'!F33</f>
        <v>5.3357187747504739E-2</v>
      </c>
      <c r="G33" s="259" cm="1">
        <f t="array" aca="1" ref="G33" ca="1">_xlfn.XLOOKUP($B33&amp;G$15,'Gas Useage'!$A$4:$A$15&amp;'Gas Useage'!$B$4:$B$15,_xlfn.XLOOKUP($C33&amp;G$14,'Gas Useage'!$C$2:$AB$2&amp;'Gas Useage'!$C$3:$AB$3,'Gas Useage'!$C$4:$AB$15))*$C$55/2000/1000+'PMCOND Simple'!G33</f>
        <v>2.1015026065362976E-3</v>
      </c>
      <c r="H33" s="260" t="s">
        <v>278</v>
      </c>
      <c r="I33" s="260" t="s">
        <v>278</v>
      </c>
      <c r="J33" s="260" t="s">
        <v>278</v>
      </c>
      <c r="K33" s="261" t="s">
        <v>278</v>
      </c>
      <c r="N33" s="258"/>
    </row>
    <row r="34" spans="2:14" ht="13.5" x14ac:dyDescent="0.25">
      <c r="B34" s="32">
        <v>2021</v>
      </c>
      <c r="C34" s="494" t="s">
        <v>284</v>
      </c>
      <c r="D34" s="259" cm="1">
        <f t="array" aca="1" ref="D34" ca="1">_xlfn.XLOOKUP($B34&amp;D$15,'Gas Useage'!$A$4:$A$15&amp;'Gas Useage'!$B$4:$B$15,_xlfn.XLOOKUP($C34&amp;D$14,'Gas Useage'!$C$2:$AB$2&amp;'Gas Useage'!$C$3:$AB$3,'Gas Useage'!$C$4:$AB$15))*$C$55/2000/1000+'PMCOND Simple'!D34</f>
        <v>5.8889107776288488E-2</v>
      </c>
      <c r="E34" s="259" cm="1">
        <f t="array" aca="1" ref="E34" ca="1">_xlfn.XLOOKUP($B34&amp;E$15,'Gas Useage'!$A$4:$A$15&amp;'Gas Useage'!$B$4:$B$15,_xlfn.XLOOKUP($C34&amp;E$14,'Gas Useage'!$C$2:$AB$2&amp;'Gas Useage'!$C$3:$AB$3,'Gas Useage'!$C$4:$AB$15))*$C$55/2000/1000+'PMCOND Simple'!E34</f>
        <v>1.7446553172296368E-3</v>
      </c>
      <c r="F34" s="259" cm="1">
        <f t="array" aca="1" ref="F34" ca="1">_xlfn.XLOOKUP($B34&amp;F$15,'Gas Useage'!$A$4:$A$15&amp;'Gas Useage'!$B$4:$B$15,_xlfn.XLOOKUP($C34&amp;F$14,'Gas Useage'!$C$2:$AB$2&amp;'Gas Useage'!$C$3:$AB$3,'Gas Useage'!$C$4:$AB$15))*$C$55/2000/1000+'PMCOND Simple'!F34</f>
        <v>6.5790992078233038E-2</v>
      </c>
      <c r="G34" s="259" cm="1">
        <f t="array" aca="1" ref="G34" ca="1">_xlfn.XLOOKUP($B34&amp;G$15,'Gas Useage'!$A$4:$A$15&amp;'Gas Useage'!$B$4:$B$15,_xlfn.XLOOKUP($C34&amp;G$14,'Gas Useage'!$C$2:$AB$2&amp;'Gas Useage'!$C$3:$AB$3,'Gas Useage'!$C$4:$AB$15))*$C$55/2000/1000+'PMCOND Simple'!G34</f>
        <v>1.9491313162893435E-3</v>
      </c>
      <c r="H34" s="260" t="s">
        <v>278</v>
      </c>
      <c r="I34" s="260" t="s">
        <v>278</v>
      </c>
      <c r="J34" s="260" t="s">
        <v>278</v>
      </c>
      <c r="K34" s="261" t="s">
        <v>278</v>
      </c>
      <c r="N34" s="258"/>
    </row>
    <row r="35" spans="2:14" ht="13.5" x14ac:dyDescent="0.25">
      <c r="B35" s="32">
        <v>2021</v>
      </c>
      <c r="C35" s="494" t="s">
        <v>285</v>
      </c>
      <c r="D35" s="259" cm="1">
        <f t="array" aca="1" ref="D35" ca="1">_xlfn.XLOOKUP($B35&amp;D$15,'Gas Useage'!$A$4:$A$15&amp;'Gas Useage'!$B$4:$B$15,_xlfn.XLOOKUP($C35&amp;D$14,'Gas Useage'!$C$2:$AB$2&amp;'Gas Useage'!$C$3:$AB$3,'Gas Useage'!$C$4:$AB$15))*$C$55/2000/1000+'PMCOND Simple'!D35</f>
        <v>7.0997087249212651E-2</v>
      </c>
      <c r="E35" s="259" cm="1">
        <f t="array" aca="1" ref="E35" ca="1">_xlfn.XLOOKUP($B35&amp;E$15,'Gas Useage'!$A$4:$A$15&amp;'Gas Useage'!$B$4:$B$15,_xlfn.XLOOKUP($C35&amp;E$14,'Gas Useage'!$C$2:$AB$2&amp;'Gas Useage'!$C$3:$AB$3,'Gas Useage'!$C$4:$AB$15))*$C$55/2000/1000+'PMCOND Simple'!E35</f>
        <v>5.8323672360492407E-3</v>
      </c>
      <c r="F35" s="259" cm="1">
        <f t="array" aca="1" ref="F35" ca="1">_xlfn.XLOOKUP($B35&amp;F$15,'Gas Useage'!$A$4:$A$15&amp;'Gas Useage'!$B$4:$B$15,_xlfn.XLOOKUP($C35&amp;F$14,'Gas Useage'!$C$2:$AB$2&amp;'Gas Useage'!$C$3:$AB$3,'Gas Useage'!$C$4:$AB$15))*$C$55/2000/1000+'PMCOND Simple'!F35</f>
        <v>6.0551043325248799E-2</v>
      </c>
      <c r="G35" s="259" cm="1">
        <f t="array" aca="1" ref="G35" ca="1">_xlfn.XLOOKUP($B35&amp;G$15,'Gas Useage'!$A$4:$A$15&amp;'Gas Useage'!$B$4:$B$15,_xlfn.XLOOKUP($C35&amp;G$14,'Gas Useage'!$C$2:$AB$2&amp;'Gas Useage'!$C$3:$AB$3,'Gas Useage'!$C$4:$AB$15))*$C$55/2000/1000+'PMCOND Simple'!G35</f>
        <v>4.9742311252733203E-3</v>
      </c>
      <c r="H35" s="260" t="s">
        <v>278</v>
      </c>
      <c r="I35" s="260" t="s">
        <v>278</v>
      </c>
      <c r="J35" s="260" t="s">
        <v>278</v>
      </c>
      <c r="K35" s="261" t="s">
        <v>278</v>
      </c>
      <c r="N35" s="258"/>
    </row>
    <row r="36" spans="2:14" ht="13.5" x14ac:dyDescent="0.25">
      <c r="B36" s="32">
        <v>2021</v>
      </c>
      <c r="C36" s="494" t="s">
        <v>286</v>
      </c>
      <c r="D36" s="259" cm="1">
        <f t="array" aca="1" ref="D36" ca="1">_xlfn.XLOOKUP($B36&amp;D$15,'Gas Useage'!$A$4:$A$15&amp;'Gas Useage'!$B$4:$B$15,_xlfn.XLOOKUP($C36&amp;D$14,'Gas Useage'!$C$2:$AB$2&amp;'Gas Useage'!$C$3:$AB$3,'Gas Useage'!$C$4:$AB$15))*$C$55/2000/1000+'PMCOND Simple'!D36</f>
        <v>4.2479906135910683E-2</v>
      </c>
      <c r="E36" s="259" cm="1">
        <f t="array" aca="1" ref="E36" ca="1">_xlfn.XLOOKUP($B36&amp;E$15,'Gas Useage'!$A$4:$A$15&amp;'Gas Useage'!$B$4:$B$15,_xlfn.XLOOKUP($C36&amp;E$14,'Gas Useage'!$C$2:$AB$2&amp;'Gas Useage'!$C$3:$AB$3,'Gas Useage'!$C$4:$AB$15))*$C$55/2000/1000+'PMCOND Simple'!E36</f>
        <v>3.1249420324704581E-3</v>
      </c>
      <c r="F36" s="259" cm="1">
        <f t="array" aca="1" ref="F36" ca="1">_xlfn.XLOOKUP($B36&amp;F$15,'Gas Useage'!$A$4:$A$15&amp;'Gas Useage'!$B$4:$B$15,_xlfn.XLOOKUP($C36&amp;F$14,'Gas Useage'!$C$2:$AB$2&amp;'Gas Useage'!$C$3:$AB$3,'Gas Useage'!$C$4:$AB$15))*$C$55/2000/1000+'PMCOND Simple'!F36</f>
        <v>3.383375250558085E-2</v>
      </c>
      <c r="G36" s="259" cm="1">
        <f t="array" aca="1" ref="G36" ca="1">_xlfn.XLOOKUP($B36&amp;G$15,'Gas Useage'!$A$4:$A$15&amp;'Gas Useage'!$B$4:$B$15,_xlfn.XLOOKUP($C36&amp;G$14,'Gas Useage'!$C$2:$AB$2&amp;'Gas Useage'!$C$3:$AB$3,'Gas Useage'!$C$4:$AB$15))*$C$55/2000/1000+'PMCOND Simple'!G36</f>
        <v>2.4889065192993439E-3</v>
      </c>
      <c r="H36" s="260" t="s">
        <v>278</v>
      </c>
      <c r="I36" s="260" t="s">
        <v>278</v>
      </c>
      <c r="J36" s="260" t="s">
        <v>278</v>
      </c>
      <c r="K36" s="261" t="s">
        <v>278</v>
      </c>
      <c r="N36" s="258"/>
    </row>
    <row r="37" spans="2:14" ht="13.5" x14ac:dyDescent="0.25">
      <c r="B37" s="32">
        <v>2021</v>
      </c>
      <c r="C37" s="494" t="s">
        <v>287</v>
      </c>
      <c r="D37" s="259" cm="1">
        <f t="array" aca="1" ref="D37" ca="1">_xlfn.XLOOKUP($B37&amp;D$15,'Gas Useage'!$A$4:$A$15&amp;'Gas Useage'!$B$4:$B$15,_xlfn.XLOOKUP($C37&amp;D$14,'Gas Useage'!$C$2:$AB$2&amp;'Gas Useage'!$C$3:$AB$3,'Gas Useage'!$C$4:$AB$15))*$C$55/2000/1000+'PMCOND Simple'!D37</f>
        <v>4.5390280910320345E-2</v>
      </c>
      <c r="E37" s="259" cm="1">
        <f t="array" aca="1" ref="E37" ca="1">_xlfn.XLOOKUP($B37&amp;E$15,'Gas Useage'!$A$4:$A$15&amp;'Gas Useage'!$B$4:$B$15,_xlfn.XLOOKUP($C37&amp;E$14,'Gas Useage'!$C$2:$AB$2&amp;'Gas Useage'!$C$3:$AB$3,'Gas Useage'!$C$4:$AB$15))*$C$55/2000/1000+'PMCOND Simple'!E37</f>
        <v>2.9793190201208332E-3</v>
      </c>
      <c r="F37" s="259" cm="1">
        <f t="array" aca="1" ref="F37" ca="1">_xlfn.XLOOKUP($B37&amp;F$15,'Gas Useage'!$A$4:$A$15&amp;'Gas Useage'!$B$4:$B$15,_xlfn.XLOOKUP($C37&amp;F$14,'Gas Useage'!$C$2:$AB$2&amp;'Gas Useage'!$C$3:$AB$3,'Gas Useage'!$C$4:$AB$15))*$C$55/2000/1000+'PMCOND Simple'!F37</f>
        <v>3.69642398131559E-2</v>
      </c>
      <c r="G37" s="259" cm="1">
        <f t="array" aca="1" ref="G37" ca="1">_xlfn.XLOOKUP($B37&amp;G$15,'Gas Useage'!$A$4:$A$15&amp;'Gas Useage'!$B$4:$B$15,_xlfn.XLOOKUP($C37&amp;G$14,'Gas Useage'!$C$2:$AB$2&amp;'Gas Useage'!$C$3:$AB$3,'Gas Useage'!$C$4:$AB$15))*$C$55/2000/1000+'PMCOND Simple'!G37</f>
        <v>2.4262520638995075E-3</v>
      </c>
      <c r="H37" s="260" t="s">
        <v>278</v>
      </c>
      <c r="I37" s="260" t="s">
        <v>278</v>
      </c>
      <c r="J37" s="260" t="s">
        <v>278</v>
      </c>
      <c r="K37" s="261" t="s">
        <v>278</v>
      </c>
      <c r="N37" s="258"/>
    </row>
    <row r="38" spans="2:14" ht="13.5" x14ac:dyDescent="0.25">
      <c r="B38" s="32">
        <v>2021</v>
      </c>
      <c r="C38" s="494" t="s">
        <v>288</v>
      </c>
      <c r="D38" s="259" cm="1">
        <f t="array" aca="1" ref="D38" ca="1">_xlfn.XLOOKUP($B38&amp;D$15,'Gas Useage'!$A$4:$A$15&amp;'Gas Useage'!$B$4:$B$15,_xlfn.XLOOKUP($C38&amp;D$14,'Gas Useage'!$C$2:$AB$2&amp;'Gas Useage'!$C$3:$AB$3,'Gas Useage'!$C$4:$AB$15))*$C$55/2000/1000+'PMCOND Simple'!D38</f>
        <v>0.14301979536082124</v>
      </c>
      <c r="E38" s="259" cm="1">
        <f t="array" aca="1" ref="E38" ca="1">_xlfn.XLOOKUP($B38&amp;E$15,'Gas Useage'!$A$4:$A$15&amp;'Gas Useage'!$B$4:$B$15,_xlfn.XLOOKUP($C38&amp;E$14,'Gas Useage'!$C$2:$AB$2&amp;'Gas Useage'!$C$3:$AB$3,'Gas Useage'!$C$4:$AB$15))*$C$55/2000/1000+'PMCOND Simple'!E38</f>
        <v>1.410647784770502E-2</v>
      </c>
      <c r="F38" s="259" cm="1">
        <f t="array" aca="1" ref="F38" ca="1">_xlfn.XLOOKUP($B38&amp;F$15,'Gas Useage'!$A$4:$A$15&amp;'Gas Useage'!$B$4:$B$15,_xlfn.XLOOKUP($C38&amp;F$14,'Gas Useage'!$C$2:$AB$2&amp;'Gas Useage'!$C$3:$AB$3,'Gas Useage'!$C$4:$AB$15))*$C$55/2000/1000+'PMCOND Simple'!F38</f>
        <v>0.13032752723315594</v>
      </c>
      <c r="G38" s="259" cm="1">
        <f t="array" aca="1" ref="G38" ca="1">_xlfn.XLOOKUP($B38&amp;G$15,'Gas Useage'!$A$4:$A$15&amp;'Gas Useage'!$B$4:$B$15,_xlfn.XLOOKUP($C38&amp;G$14,'Gas Useage'!$C$2:$AB$2&amp;'Gas Useage'!$C$3:$AB$3,'Gas Useage'!$C$4:$AB$15))*$C$55/2000/1000+'PMCOND Simple'!G38</f>
        <v>1.2854600799997468E-2</v>
      </c>
      <c r="H38" s="260" t="s">
        <v>278</v>
      </c>
      <c r="I38" s="260" t="s">
        <v>278</v>
      </c>
      <c r="J38" s="260" t="s">
        <v>278</v>
      </c>
      <c r="K38" s="261" t="s">
        <v>278</v>
      </c>
      <c r="N38" s="258"/>
    </row>
    <row r="39" spans="2:14" ht="13.5" x14ac:dyDescent="0.25">
      <c r="B39" s="32">
        <v>2021</v>
      </c>
      <c r="C39" s="494" t="s">
        <v>289</v>
      </c>
      <c r="D39" s="259" cm="1">
        <f t="array" aca="1" ref="D39" ca="1">_xlfn.XLOOKUP($B39&amp;D$15,'Gas Useage'!$A$4:$A$15&amp;'Gas Useage'!$B$4:$B$15,_xlfn.XLOOKUP($C39&amp;D$14,'Gas Useage'!$C$2:$AB$2&amp;'Gas Useage'!$C$3:$AB$3,'Gas Useage'!$C$4:$AB$15))*$C$55/2000/1000+'PMCOND Simple'!D39</f>
        <v>8.5794580872379692E-2</v>
      </c>
      <c r="E39" s="259" cm="1">
        <f t="array" aca="1" ref="E39" ca="1">_xlfn.XLOOKUP($B39&amp;E$15,'Gas Useage'!$A$4:$A$15&amp;'Gas Useage'!$B$4:$B$15,_xlfn.XLOOKUP($C39&amp;E$14,'Gas Useage'!$C$2:$AB$2&amp;'Gas Useage'!$C$3:$AB$3,'Gas Useage'!$C$4:$AB$15))*$C$55/2000/1000+'PMCOND Simple'!E39</f>
        <v>8.095941249794316E-3</v>
      </c>
      <c r="F39" s="259" cm="1">
        <f t="array" aca="1" ref="F39" ca="1">_xlfn.XLOOKUP($B39&amp;F$15,'Gas Useage'!$A$4:$A$15&amp;'Gas Useage'!$B$4:$B$15,_xlfn.XLOOKUP($C39&amp;F$14,'Gas Useage'!$C$2:$AB$2&amp;'Gas Useage'!$C$3:$AB$3,'Gas Useage'!$C$4:$AB$15))*$C$55/2000/1000+'PMCOND Simple'!F39</f>
        <v>8.3332756457103377E-2</v>
      </c>
      <c r="G39" s="259" cm="1">
        <f t="array" aca="1" ref="G39" ca="1">_xlfn.XLOOKUP($B39&amp;G$15,'Gas Useage'!$A$4:$A$15&amp;'Gas Useage'!$B$4:$B$15,_xlfn.XLOOKUP($C39&amp;G$14,'Gas Useage'!$C$2:$AB$2&amp;'Gas Useage'!$C$3:$AB$3,'Gas Useage'!$C$4:$AB$15))*$C$55/2000/1000+'PMCOND Simple'!G39</f>
        <v>7.863633036026902E-3</v>
      </c>
      <c r="H39" s="260" t="s">
        <v>278</v>
      </c>
      <c r="I39" s="260" t="s">
        <v>278</v>
      </c>
      <c r="J39" s="260" t="s">
        <v>278</v>
      </c>
      <c r="K39" s="261" t="s">
        <v>278</v>
      </c>
      <c r="N39" s="258"/>
    </row>
    <row r="40" spans="2:14" ht="13.5" x14ac:dyDescent="0.25">
      <c r="B40" s="32">
        <v>2022</v>
      </c>
      <c r="C40" s="494" t="s">
        <v>277</v>
      </c>
      <c r="D40" s="259" cm="1">
        <f t="array" aca="1" ref="D40" ca="1">_xlfn.XLOOKUP($B40&amp;D$15,'Gas Useage'!$A$4:$A$15&amp;'Gas Useage'!$B$4:$B$15,_xlfn.XLOOKUP($C40&amp;D$14,'Gas Useage'!$C$2:$AB$2&amp;'Gas Useage'!$C$3:$AB$3,'Gas Useage'!$C$4:$AB$15))*$C$55/2000/1000+'PMCOND Simple'!D40</f>
        <v>9.1564579720059852E-2</v>
      </c>
      <c r="E40" s="259" cm="1">
        <f t="array" aca="1" ref="E40" ca="1">_xlfn.XLOOKUP($B40&amp;E$15,'Gas Useage'!$A$4:$A$15&amp;'Gas Useage'!$B$4:$B$15,_xlfn.XLOOKUP($C40&amp;E$14,'Gas Useage'!$C$2:$AB$2&amp;'Gas Useage'!$C$3:$AB$3,'Gas Useage'!$C$4:$AB$15))*$C$55/2000/1000+'PMCOND Simple'!E40</f>
        <v>1.1467878662253777E-2</v>
      </c>
      <c r="F40" s="259" cm="1">
        <f t="array" aca="1" ref="F40" ca="1">_xlfn.XLOOKUP($B40&amp;F$15,'Gas Useage'!$A$4:$A$15&amp;'Gas Useage'!$B$4:$B$15,_xlfn.XLOOKUP($C40&amp;F$14,'Gas Useage'!$C$2:$AB$2&amp;'Gas Useage'!$C$3:$AB$3,'Gas Useage'!$C$4:$AB$15))*$C$55/2000/1000+'PMCOND Simple'!F40</f>
        <v>8.1416995025610117E-2</v>
      </c>
      <c r="G40" s="259" cm="1">
        <f t="array" aca="1" ref="G40" ca="1">_xlfn.XLOOKUP($B40&amp;G$15,'Gas Useage'!$A$4:$A$15&amp;'Gas Useage'!$B$4:$B$15,_xlfn.XLOOKUP($C40&amp;G$14,'Gas Useage'!$C$2:$AB$2&amp;'Gas Useage'!$C$3:$AB$3,'Gas Useage'!$C$4:$AB$15))*$C$55/2000/1000+'PMCOND Simple'!G40</f>
        <v>1.0196958505718629E-2</v>
      </c>
      <c r="H40" s="260" t="s">
        <v>278</v>
      </c>
      <c r="I40" s="260" t="s">
        <v>278</v>
      </c>
      <c r="J40" s="260" t="s">
        <v>278</v>
      </c>
      <c r="K40" s="261" t="s">
        <v>278</v>
      </c>
      <c r="N40" s="258"/>
    </row>
    <row r="41" spans="2:14" ht="13.5" x14ac:dyDescent="0.25">
      <c r="B41" s="32">
        <v>2022</v>
      </c>
      <c r="C41" s="494" t="s">
        <v>279</v>
      </c>
      <c r="D41" s="259" cm="1">
        <f t="array" aca="1" ref="D41" ca="1">_xlfn.XLOOKUP($B41&amp;D$15,'Gas Useage'!$A$4:$A$15&amp;'Gas Useage'!$B$4:$B$15,_xlfn.XLOOKUP($C41&amp;D$14,'Gas Useage'!$C$2:$AB$2&amp;'Gas Useage'!$C$3:$AB$3,'Gas Useage'!$C$4:$AB$15))*$C$55/2000/1000+'PMCOND Simple'!D41</f>
        <v>8.7283501180148562E-2</v>
      </c>
      <c r="E41" s="259" cm="1">
        <f t="array" aca="1" ref="E41" ca="1">_xlfn.XLOOKUP($B41&amp;E$15,'Gas Useage'!$A$4:$A$15&amp;'Gas Useage'!$B$4:$B$15,_xlfn.XLOOKUP($C41&amp;E$14,'Gas Useage'!$C$2:$AB$2&amp;'Gas Useage'!$C$3:$AB$3,'Gas Useage'!$C$4:$AB$15))*$C$55/2000/1000+'PMCOND Simple'!E41</f>
        <v>9.7807273662376508E-3</v>
      </c>
      <c r="F41" s="259" cm="1">
        <f t="array" aca="1" ref="F41" ca="1">_xlfn.XLOOKUP($B41&amp;F$15,'Gas Useage'!$A$4:$A$15&amp;'Gas Useage'!$B$4:$B$15,_xlfn.XLOOKUP($C41&amp;F$14,'Gas Useage'!$C$2:$AB$2&amp;'Gas Useage'!$C$3:$AB$3,'Gas Useage'!$C$4:$AB$15))*$C$55/2000/1000+'PMCOND Simple'!F41</f>
        <v>5.8533563038680417E-2</v>
      </c>
      <c r="G41" s="259" cm="1">
        <f t="array" aca="1" ref="G41" ca="1">_xlfn.XLOOKUP($B41&amp;G$15,'Gas Useage'!$A$4:$A$15&amp;'Gas Useage'!$B$4:$B$15,_xlfn.XLOOKUP($C41&amp;G$14,'Gas Useage'!$C$2:$AB$2&amp;'Gas Useage'!$C$3:$AB$3,'Gas Useage'!$C$4:$AB$15))*$C$55/2000/1000+'PMCOND Simple'!G41</f>
        <v>6.5590955233819793E-3</v>
      </c>
      <c r="H41" s="260" t="s">
        <v>278</v>
      </c>
      <c r="I41" s="260" t="s">
        <v>278</v>
      </c>
      <c r="J41" s="260" t="s">
        <v>278</v>
      </c>
      <c r="K41" s="261" t="s">
        <v>278</v>
      </c>
      <c r="N41" s="258"/>
    </row>
    <row r="42" spans="2:14" ht="13.5" x14ac:dyDescent="0.25">
      <c r="B42" s="32">
        <v>2022</v>
      </c>
      <c r="C42" s="494" t="s">
        <v>280</v>
      </c>
      <c r="D42" s="259" cm="1">
        <f t="array" aca="1" ref="D42" ca="1">_xlfn.XLOOKUP($B42&amp;D$15,'Gas Useage'!$A$4:$A$15&amp;'Gas Useage'!$B$4:$B$15,_xlfn.XLOOKUP($C42&amp;D$14,'Gas Useage'!$C$2:$AB$2&amp;'Gas Useage'!$C$3:$AB$3,'Gas Useage'!$C$4:$AB$15))*$C$55/2000/1000+'PMCOND Simple'!D42</f>
        <v>0.10114245344112005</v>
      </c>
      <c r="E42" s="259" cm="1">
        <f t="array" aca="1" ref="E42" ca="1">_xlfn.XLOOKUP($B42&amp;E$15,'Gas Useage'!$A$4:$A$15&amp;'Gas Useage'!$B$4:$B$15,_xlfn.XLOOKUP($C42&amp;E$14,'Gas Useage'!$C$2:$AB$2&amp;'Gas Useage'!$C$3:$AB$3,'Gas Useage'!$C$4:$AB$15))*$C$55/2000/1000+'PMCOND Simple'!E42</f>
        <v>1.014539694083276E-2</v>
      </c>
      <c r="F42" s="259" cm="1">
        <f t="array" aca="1" ref="F42" ca="1">_xlfn.XLOOKUP($B42&amp;F$15,'Gas Useage'!$A$4:$A$15&amp;'Gas Useage'!$B$4:$B$15,_xlfn.XLOOKUP($C42&amp;F$14,'Gas Useage'!$C$2:$AB$2&amp;'Gas Useage'!$C$3:$AB$3,'Gas Useage'!$C$4:$AB$15))*$C$55/2000/1000+'PMCOND Simple'!F42</f>
        <v>4.7918078966199498E-2</v>
      </c>
      <c r="G42" s="259" cm="1">
        <f t="array" aca="1" ref="G42" ca="1">_xlfn.XLOOKUP($B42&amp;G$15,'Gas Useage'!$A$4:$A$15&amp;'Gas Useage'!$B$4:$B$15,_xlfn.XLOOKUP($C42&amp;G$14,'Gas Useage'!$C$2:$AB$2&amp;'Gas Useage'!$C$3:$AB$3,'Gas Useage'!$C$4:$AB$15))*$C$55/2000/1000+'PMCOND Simple'!G42</f>
        <v>4.8065665327890559E-3</v>
      </c>
      <c r="H42" s="260" t="s">
        <v>278</v>
      </c>
      <c r="I42" s="260" t="s">
        <v>278</v>
      </c>
      <c r="J42" s="260" t="s">
        <v>278</v>
      </c>
      <c r="K42" s="261" t="s">
        <v>278</v>
      </c>
      <c r="N42" s="258"/>
    </row>
    <row r="43" spans="2:14" ht="13.5" x14ac:dyDescent="0.25">
      <c r="B43" s="32">
        <v>2022</v>
      </c>
      <c r="C43" s="494" t="s">
        <v>281</v>
      </c>
      <c r="D43" s="259" cm="1">
        <f t="array" aca="1" ref="D43" ca="1">_xlfn.XLOOKUP($B43&amp;D$15,'Gas Useage'!$A$4:$A$15&amp;'Gas Useage'!$B$4:$B$15,_xlfn.XLOOKUP($C43&amp;D$14,'Gas Useage'!$C$2:$AB$2&amp;'Gas Useage'!$C$3:$AB$3,'Gas Useage'!$C$4:$AB$15))*$C$55/2000/1000+'PMCOND Simple'!D43</f>
        <v>0.10368812678191923</v>
      </c>
      <c r="E43" s="259" cm="1">
        <f t="array" aca="1" ref="E43" ca="1">_xlfn.XLOOKUP($B43&amp;E$15,'Gas Useage'!$A$4:$A$15&amp;'Gas Useage'!$B$4:$B$15,_xlfn.XLOOKUP($C43&amp;E$14,'Gas Useage'!$C$2:$AB$2&amp;'Gas Useage'!$C$3:$AB$3,'Gas Useage'!$C$4:$AB$15))*$C$55/2000/1000+'PMCOND Simple'!E43</f>
        <v>1.1481621042440625E-2</v>
      </c>
      <c r="F43" s="259" cm="1">
        <f t="array" aca="1" ref="F43" ca="1">_xlfn.XLOOKUP($B43&amp;F$15,'Gas Useage'!$A$4:$A$15&amp;'Gas Useage'!$B$4:$B$15,_xlfn.XLOOKUP($C43&amp;F$14,'Gas Useage'!$C$2:$AB$2&amp;'Gas Useage'!$C$3:$AB$3,'Gas Useage'!$C$4:$AB$15))*$C$55/2000/1000+'PMCOND Simple'!F43</f>
        <v>8.3627032046627719E-2</v>
      </c>
      <c r="G43" s="259" cm="1">
        <f t="array" aca="1" ref="G43" ca="1">_xlfn.XLOOKUP($B43&amp;G$15,'Gas Useage'!$A$4:$A$15&amp;'Gas Useage'!$B$4:$B$15,_xlfn.XLOOKUP($C43&amp;G$14,'Gas Useage'!$C$2:$AB$2&amp;'Gas Useage'!$C$3:$AB$3,'Gas Useage'!$C$4:$AB$15))*$C$55/2000/1000+'PMCOND Simple'!G43</f>
        <v>9.2602106013824625E-3</v>
      </c>
      <c r="H43" s="260" t="s">
        <v>278</v>
      </c>
      <c r="I43" s="260" t="s">
        <v>278</v>
      </c>
      <c r="J43" s="260" t="s">
        <v>278</v>
      </c>
      <c r="K43" s="261" t="s">
        <v>278</v>
      </c>
      <c r="N43" s="258"/>
    </row>
    <row r="44" spans="2:14" ht="13.5" x14ac:dyDescent="0.25">
      <c r="B44" s="32">
        <v>2022</v>
      </c>
      <c r="C44" s="494" t="s">
        <v>282</v>
      </c>
      <c r="D44" s="259" cm="1">
        <f t="array" aca="1" ref="D44" ca="1">_xlfn.XLOOKUP($B44&amp;D$15,'Gas Useage'!$A$4:$A$15&amp;'Gas Useage'!$B$4:$B$15,_xlfn.XLOOKUP($C44&amp;D$14,'Gas Useage'!$C$2:$AB$2&amp;'Gas Useage'!$C$3:$AB$3,'Gas Useage'!$C$4:$AB$15))*$C$55/2000/1000+'PMCOND Simple'!D44</f>
        <v>7.1300824341422889E-2</v>
      </c>
      <c r="E44" s="259" cm="1">
        <f t="array" aca="1" ref="E44" ca="1">_xlfn.XLOOKUP($B44&amp;E$15,'Gas Useage'!$A$4:$A$15&amp;'Gas Useage'!$B$4:$B$15,_xlfn.XLOOKUP($C44&amp;E$14,'Gas Useage'!$C$2:$AB$2&amp;'Gas Useage'!$C$3:$AB$3,'Gas Useage'!$C$4:$AB$15))*$C$55/2000/1000+'PMCOND Simple'!E44</f>
        <v>8.227506796363462E-3</v>
      </c>
      <c r="F44" s="259" cm="1">
        <f t="array" aca="1" ref="F44" ca="1">_xlfn.XLOOKUP($B44&amp;F$15,'Gas Useage'!$A$4:$A$15&amp;'Gas Useage'!$B$4:$B$15,_xlfn.XLOOKUP($C44&amp;F$14,'Gas Useage'!$C$2:$AB$2&amp;'Gas Useage'!$C$3:$AB$3,'Gas Useage'!$C$4:$AB$15))*$C$55/2000/1000+'PMCOND Simple'!F44</f>
        <v>4.1330118319558261E-2</v>
      </c>
      <c r="G44" s="259" cm="1">
        <f t="array" aca="1" ref="G44" ca="1">_xlfn.XLOOKUP($B44&amp;G$15,'Gas Useage'!$A$4:$A$15&amp;'Gas Useage'!$B$4:$B$15,_xlfn.XLOOKUP($C44&amp;G$14,'Gas Useage'!$C$2:$AB$2&amp;'Gas Useage'!$C$3:$AB$3,'Gas Useage'!$C$4:$AB$15))*$C$55/2000/1000+'PMCOND Simple'!G44</f>
        <v>4.7691430289834658E-3</v>
      </c>
      <c r="H44" s="260" t="s">
        <v>278</v>
      </c>
      <c r="I44" s="260" t="s">
        <v>278</v>
      </c>
      <c r="J44" s="260" t="s">
        <v>278</v>
      </c>
      <c r="K44" s="261" t="s">
        <v>278</v>
      </c>
      <c r="N44" s="258"/>
    </row>
    <row r="45" spans="2:14" ht="13.5" x14ac:dyDescent="0.25">
      <c r="B45" s="32">
        <v>2022</v>
      </c>
      <c r="C45" s="494" t="s">
        <v>283</v>
      </c>
      <c r="D45" s="259" cm="1">
        <f t="array" aca="1" ref="D45" ca="1">_xlfn.XLOOKUP($B45&amp;D$15,'Gas Useage'!$A$4:$A$15&amp;'Gas Useage'!$B$4:$B$15,_xlfn.XLOOKUP($C45&amp;D$14,'Gas Useage'!$C$2:$AB$2&amp;'Gas Useage'!$C$3:$AB$3,'Gas Useage'!$C$4:$AB$15))*$C$55/2000/1000+'PMCOND Simple'!D45</f>
        <v>1.8195987084314323E-2</v>
      </c>
      <c r="E45" s="259" cm="1">
        <f t="array" aca="1" ref="E45" ca="1">_xlfn.XLOOKUP($B45&amp;E$15,'Gas Useage'!$A$4:$A$15&amp;'Gas Useage'!$B$4:$B$15,_xlfn.XLOOKUP($C45&amp;E$14,'Gas Useage'!$C$2:$AB$2&amp;'Gas Useage'!$C$3:$AB$3,'Gas Useage'!$C$4:$AB$15))*$C$55/2000/1000+'PMCOND Simple'!E45</f>
        <v>2.1946781203198715E-3</v>
      </c>
      <c r="F45" s="259" cm="1">
        <f t="array" aca="1" ref="F45" ca="1">_xlfn.XLOOKUP($B45&amp;F$15,'Gas Useage'!$A$4:$A$15&amp;'Gas Useage'!$B$4:$B$15,_xlfn.XLOOKUP($C45&amp;F$14,'Gas Useage'!$C$2:$AB$2&amp;'Gas Useage'!$C$3:$AB$3,'Gas Useage'!$C$4:$AB$15))*$C$55/2000/1000+'PMCOND Simple'!F45</f>
        <v>1.2584728766670147E-2</v>
      </c>
      <c r="G45" s="259" cm="1">
        <f t="array" aca="1" ref="G45" ca="1">_xlfn.XLOOKUP($B45&amp;G$15,'Gas Useage'!$A$4:$A$15&amp;'Gas Useage'!$B$4:$B$15,_xlfn.XLOOKUP($C45&amp;G$14,'Gas Useage'!$C$2:$AB$2&amp;'Gas Useage'!$C$3:$AB$3,'Gas Useage'!$C$4:$AB$15))*$C$55/2000/1000+'PMCOND Simple'!G45</f>
        <v>1.5178857154817453E-3</v>
      </c>
      <c r="H45" s="260" t="s">
        <v>278</v>
      </c>
      <c r="I45" s="260" t="s">
        <v>278</v>
      </c>
      <c r="J45" s="260" t="s">
        <v>278</v>
      </c>
      <c r="K45" s="261" t="s">
        <v>278</v>
      </c>
      <c r="N45" s="258"/>
    </row>
    <row r="46" spans="2:14" ht="13.5" x14ac:dyDescent="0.25">
      <c r="B46" s="32">
        <v>2022</v>
      </c>
      <c r="C46" s="494" t="s">
        <v>284</v>
      </c>
      <c r="D46" s="259" cm="1">
        <f t="array" aca="1" ref="D46" ca="1">_xlfn.XLOOKUP($B46&amp;D$15,'Gas Useage'!$A$4:$A$15&amp;'Gas Useage'!$B$4:$B$15,_xlfn.XLOOKUP($C46&amp;D$14,'Gas Useage'!$C$2:$AB$2&amp;'Gas Useage'!$C$3:$AB$3,'Gas Useage'!$C$4:$AB$15))*$C$55/2000/1000+'PMCOND Simple'!D46</f>
        <v>5.2723036925232156E-2</v>
      </c>
      <c r="E46" s="259" cm="1">
        <f t="array" aca="1" ref="E46" ca="1">_xlfn.XLOOKUP($B46&amp;E$15,'Gas Useage'!$A$4:$A$15&amp;'Gas Useage'!$B$4:$B$15,_xlfn.XLOOKUP($C46&amp;E$14,'Gas Useage'!$C$2:$AB$2&amp;'Gas Useage'!$C$3:$AB$3,'Gas Useage'!$C$4:$AB$15))*$C$55/2000/1000+'PMCOND Simple'!E46</f>
        <v>7.3296458573132743E-3</v>
      </c>
      <c r="F46" s="259" cm="1">
        <f t="array" aca="1" ref="F46" ca="1">_xlfn.XLOOKUP($B46&amp;F$15,'Gas Useage'!$A$4:$A$15&amp;'Gas Useage'!$B$4:$B$15,_xlfn.XLOOKUP($C46&amp;F$14,'Gas Useage'!$C$2:$AB$2&amp;'Gas Useage'!$C$3:$AB$3,'Gas Useage'!$C$4:$AB$15))*$C$55/2000/1000+'PMCOND Simple'!F46</f>
        <v>4.9837033028465608E-2</v>
      </c>
      <c r="G46" s="259" cm="1">
        <f t="array" aca="1" ref="G46" ca="1">_xlfn.XLOOKUP($B46&amp;G$15,'Gas Useage'!$A$4:$A$15&amp;'Gas Useage'!$B$4:$B$15,_xlfn.XLOOKUP($C46&amp;G$14,'Gas Useage'!$C$2:$AB$2&amp;'Gas Useage'!$C$3:$AB$3,'Gas Useage'!$C$4:$AB$15))*$C$55/2000/1000+'PMCOND Simple'!G46</f>
        <v>6.9284287093685721E-3</v>
      </c>
      <c r="H46" s="260" t="s">
        <v>278</v>
      </c>
      <c r="I46" s="260" t="s">
        <v>278</v>
      </c>
      <c r="J46" s="260" t="s">
        <v>278</v>
      </c>
      <c r="K46" s="261" t="s">
        <v>278</v>
      </c>
      <c r="N46" s="258"/>
    </row>
    <row r="47" spans="2:14" ht="13.5" x14ac:dyDescent="0.25">
      <c r="B47" s="32">
        <v>2022</v>
      </c>
      <c r="C47" s="494" t="s">
        <v>285</v>
      </c>
      <c r="D47" s="259" cm="1">
        <f t="array" aca="1" ref="D47" ca="1">_xlfn.XLOOKUP($B47&amp;D$15,'Gas Useage'!$A$4:$A$15&amp;'Gas Useage'!$B$4:$B$15,_xlfn.XLOOKUP($C47&amp;D$14,'Gas Useage'!$C$2:$AB$2&amp;'Gas Useage'!$C$3:$AB$3,'Gas Useage'!$C$4:$AB$15))*$C$55/2000/1000+'PMCOND Simple'!D47</f>
        <v>0.13348602008597527</v>
      </c>
      <c r="E47" s="259" cm="1">
        <f t="array" aca="1" ref="E47" ca="1">_xlfn.XLOOKUP($B47&amp;E$15,'Gas Useage'!$A$4:$A$15&amp;'Gas Useage'!$B$4:$B$15,_xlfn.XLOOKUP($C47&amp;E$14,'Gas Useage'!$C$2:$AB$2&amp;'Gas Useage'!$C$3:$AB$3,'Gas Useage'!$C$4:$AB$15))*$C$55/2000/1000+'PMCOND Simple'!E47</f>
        <v>1.3152606516836732E-2</v>
      </c>
      <c r="F47" s="259" cm="1">
        <f t="array" aca="1" ref="F47" ca="1">_xlfn.XLOOKUP($B47&amp;F$15,'Gas Useage'!$A$4:$A$15&amp;'Gas Useage'!$B$4:$B$15,_xlfn.XLOOKUP($C47&amp;F$14,'Gas Useage'!$C$2:$AB$2&amp;'Gas Useage'!$C$3:$AB$3,'Gas Useage'!$C$4:$AB$15))*$C$55/2000/1000+'PMCOND Simple'!F47</f>
        <v>9.6978947485211853E-2</v>
      </c>
      <c r="G47" s="259" cm="1">
        <f t="array" aca="1" ref="G47" ca="1">_xlfn.XLOOKUP($B47&amp;G$15,'Gas Useage'!$A$4:$A$15&amp;'Gas Useage'!$B$4:$B$15,_xlfn.XLOOKUP($C47&amp;G$14,'Gas Useage'!$C$2:$AB$2&amp;'Gas Useage'!$C$3:$AB$3,'Gas Useage'!$C$4:$AB$15))*$C$55/2000/1000+'PMCOND Simple'!G47</f>
        <v>9.5555020358568492E-3</v>
      </c>
      <c r="H47" s="260" t="s">
        <v>278</v>
      </c>
      <c r="I47" s="260" t="s">
        <v>278</v>
      </c>
      <c r="J47" s="260" t="s">
        <v>278</v>
      </c>
      <c r="K47" s="261" t="s">
        <v>278</v>
      </c>
      <c r="N47" s="258"/>
    </row>
    <row r="48" spans="2:14" ht="14.25" thickBot="1" x14ac:dyDescent="0.3">
      <c r="B48" s="33">
        <v>2022</v>
      </c>
      <c r="C48" s="499" t="s">
        <v>286</v>
      </c>
      <c r="D48" s="262" cm="1">
        <f t="array" aca="1" ref="D48" ca="1">_xlfn.XLOOKUP($B48&amp;D$15,'Gas Useage'!$A$4:$A$15&amp;'Gas Useage'!$B$4:$B$15,_xlfn.XLOOKUP($C48&amp;D$14,'Gas Useage'!$C$2:$AB$2&amp;'Gas Useage'!$C$3:$AB$3,'Gas Useage'!$C$4:$AB$15))*$C$55/2000/1000+'PMCOND Simple'!D48</f>
        <v>4.5529493446989255E-2</v>
      </c>
      <c r="E48" s="262" cm="1">
        <f t="array" aca="1" ref="E48" ca="1">_xlfn.XLOOKUP($B48&amp;E$15,'Gas Useage'!$A$4:$A$15&amp;'Gas Useage'!$B$4:$B$15,_xlfn.XLOOKUP($C48&amp;E$14,'Gas Useage'!$C$2:$AB$2&amp;'Gas Useage'!$C$3:$AB$3,'Gas Useage'!$C$4:$AB$15))*$C$55/2000/1000+'PMCOND Simple'!E48</f>
        <v>5.5973130628124233E-3</v>
      </c>
      <c r="F48" s="262" cm="1">
        <f t="array" aca="1" ref="F48" ca="1">_xlfn.XLOOKUP($B48&amp;F$15,'Gas Useage'!$A$4:$A$15&amp;'Gas Useage'!$B$4:$B$15,_xlfn.XLOOKUP($C48&amp;F$14,'Gas Useage'!$C$2:$AB$2&amp;'Gas Useage'!$C$3:$AB$3,'Gas Useage'!$C$4:$AB$15))*$C$55/2000/1000+'PMCOND Simple'!F48</f>
        <v>2.5803788290315502E-2</v>
      </c>
      <c r="G48" s="262" cm="1">
        <f t="array" aca="1" ref="G48" ca="1">_xlfn.XLOOKUP($B48&amp;G$15,'Gas Useage'!$A$4:$A$15&amp;'Gas Useage'!$B$4:$B$15,_xlfn.XLOOKUP($C48&amp;G$14,'Gas Useage'!$C$2:$AB$2&amp;'Gas Useage'!$C$3:$AB$3,'Gas Useage'!$C$4:$AB$15))*$C$55/2000/1000+'PMCOND Simple'!G48</f>
        <v>3.1722707707168684E-3</v>
      </c>
      <c r="H48" s="263">
        <f t="shared" ref="H48:K51" ca="1" si="0">IFERROR(SUM(D25:D48)/2,"--")</f>
        <v>0.95689237736119659</v>
      </c>
      <c r="I48" s="263">
        <f t="shared" ca="1" si="0"/>
        <v>8.7580868822283692E-2</v>
      </c>
      <c r="J48" s="263">
        <f t="shared" ca="1" si="0"/>
        <v>0.96810923742467836</v>
      </c>
      <c r="K48" s="264">
        <f t="shared" ca="1" si="0"/>
        <v>8.5903781112232097E-2</v>
      </c>
      <c r="N48" s="258"/>
    </row>
    <row r="49" spans="2:14" ht="13.5" hidden="1" x14ac:dyDescent="0.25">
      <c r="B49" s="495">
        <v>2022</v>
      </c>
      <c r="C49" s="284" t="s">
        <v>287</v>
      </c>
      <c r="D49" s="496" cm="1">
        <f t="array" aca="1" ref="D49" ca="1">_xlfn.XLOOKUP($B49&amp;D$15,'Gas Useage'!$A$4:$A$15&amp;'Gas Useage'!$B$4:$B$15,_xlfn.XLOOKUP($C49&amp;D$14,'Gas Useage'!$C$2:$AB$2&amp;'Gas Useage'!$C$3:$AB$3,'Gas Useage'!$C$4:$AB$15))*$C$55/2000/1000+'PMCOND Simple'!D49</f>
        <v>3.2103555880882796E-2</v>
      </c>
      <c r="E49" s="496" cm="1">
        <f t="array" aca="1" ref="E49" ca="1">_xlfn.XLOOKUP($B49&amp;E$15,'Gas Useage'!$A$4:$A$15&amp;'Gas Useage'!$B$4:$B$15,_xlfn.XLOOKUP($C49&amp;E$14,'Gas Useage'!$C$2:$AB$2&amp;'Gas Useage'!$C$3:$AB$3,'Gas Useage'!$C$4:$AB$15))*$C$55/2000/1000+'PMCOND Simple'!E49</f>
        <v>5.9441975684428909E-3</v>
      </c>
      <c r="F49" s="496" cm="1">
        <f t="array" aca="1" ref="F49" ca="1">_xlfn.XLOOKUP($B49&amp;F$15,'Gas Useage'!$A$4:$A$15&amp;'Gas Useage'!$B$4:$B$15,_xlfn.XLOOKUP($C49&amp;F$14,'Gas Useage'!$C$2:$AB$2&amp;'Gas Useage'!$C$3:$AB$3,'Gas Useage'!$C$4:$AB$15))*$C$55/2000/1000+'PMCOND Simple'!F49</f>
        <v>2.4244333166801111E-2</v>
      </c>
      <c r="G49" s="496" cm="1">
        <f t="array" aca="1" ref="G49" ca="1">_xlfn.XLOOKUP($B49&amp;G$15,'Gas Useage'!$A$4:$A$15&amp;'Gas Useage'!$B$4:$B$15,_xlfn.XLOOKUP($C49&amp;G$14,'Gas Useage'!$C$2:$AB$2&amp;'Gas Useage'!$C$3:$AB$3,'Gas Useage'!$C$4:$AB$15))*$C$55/2000/1000+'PMCOND Simple'!G49</f>
        <v>4.4890075975800477E-3</v>
      </c>
      <c r="H49" s="497">
        <f t="shared" ca="1" si="0"/>
        <v>0.95299846274598354</v>
      </c>
      <c r="I49" s="497">
        <f t="shared" ca="1" si="0"/>
        <v>8.8652796806197448E-2</v>
      </c>
      <c r="J49" s="497">
        <f t="shared" ca="1" si="0"/>
        <v>0.93410384250859801</v>
      </c>
      <c r="K49" s="498">
        <f t="shared" ca="1" si="0"/>
        <v>8.3753840085095912E-2</v>
      </c>
      <c r="N49" s="258"/>
    </row>
    <row r="50" spans="2:14" ht="13.5" hidden="1" x14ac:dyDescent="0.25">
      <c r="B50" s="283">
        <v>2022</v>
      </c>
      <c r="C50" s="284" t="s">
        <v>288</v>
      </c>
      <c r="D50" s="290" cm="1">
        <f t="array" aca="1" ref="D50" ca="1">_xlfn.XLOOKUP($B50&amp;D$15,'Gas Useage'!$A$4:$A$15&amp;'Gas Useage'!$B$4:$B$15,_xlfn.XLOOKUP($C50&amp;D$14,'Gas Useage'!$C$2:$AB$2&amp;'Gas Useage'!$C$3:$AB$3,'Gas Useage'!$C$4:$AB$15))*$C$55/2000/1000+'PMCOND Simple'!D50</f>
        <v>4.8870535115298506E-5</v>
      </c>
      <c r="E50" s="290" cm="1">
        <f t="array" aca="1" ref="E50" ca="1">_xlfn.XLOOKUP($B50&amp;E$15,'Gas Useage'!$A$4:$A$15&amp;'Gas Useage'!$B$4:$B$15,_xlfn.XLOOKUP($C50&amp;E$14,'Gas Useage'!$C$2:$AB$2&amp;'Gas Useage'!$C$3:$AB$3,'Gas Useage'!$C$4:$AB$15))*$C$55/2000/1000+'PMCOND Simple'!E50</f>
        <v>6.3005348292359547E-6</v>
      </c>
      <c r="F50" s="290" cm="1">
        <f t="array" aca="1" ref="F50" ca="1">_xlfn.XLOOKUP($B50&amp;F$15,'Gas Useage'!$A$4:$A$15&amp;'Gas Useage'!$B$4:$B$15,_xlfn.XLOOKUP($C50&amp;F$14,'Gas Useage'!$C$2:$AB$2&amp;'Gas Useage'!$C$3:$AB$3,'Gas Useage'!$C$4:$AB$15))*$C$55/2000/1000+'PMCOND Simple'!F50</f>
        <v>4.1127379932334686E-5</v>
      </c>
      <c r="G50" s="290" cm="1">
        <f t="array" aca="1" ref="G50" ca="1">_xlfn.XLOOKUP($B50&amp;G$15,'Gas Useage'!$A$4:$A$15&amp;'Gas Useage'!$B$4:$B$15,_xlfn.XLOOKUP($C50&amp;G$14,'Gas Useage'!$C$2:$AB$2&amp;'Gas Useage'!$C$3:$AB$3,'Gas Useage'!$C$4:$AB$15))*$C$55/2000/1000+'PMCOND Simple'!G50</f>
        <v>5.3022642188703556E-6</v>
      </c>
      <c r="H50" s="291">
        <f t="shared" ca="1" si="0"/>
        <v>0.9100159540150603</v>
      </c>
      <c r="I50" s="291">
        <f t="shared" ca="1" si="0"/>
        <v>8.3120800398699624E-2</v>
      </c>
      <c r="J50" s="291">
        <f t="shared" ca="1" si="0"/>
        <v>0.86902442226434895</v>
      </c>
      <c r="K50" s="292">
        <f t="shared" ca="1" si="0"/>
        <v>7.5377891714226194E-2</v>
      </c>
      <c r="N50" s="258"/>
    </row>
    <row r="51" spans="2:14" ht="14.25" hidden="1" thickBot="1" x14ac:dyDescent="0.3">
      <c r="B51" s="285">
        <v>2022</v>
      </c>
      <c r="C51" s="286" t="s">
        <v>289</v>
      </c>
      <c r="D51" s="287" cm="1">
        <f t="array" aca="1" ref="D51" ca="1">_xlfn.XLOOKUP($B51&amp;D$15,'Gas Useage'!$A$4:$A$15&amp;'Gas Useage'!$B$4:$B$15,_xlfn.XLOOKUP($C51&amp;D$14,'Gas Useage'!$C$2:$AB$2&amp;'Gas Useage'!$C$3:$AB$3,'Gas Useage'!$C$4:$AB$15))*$C$55/2000/1000+'PMCOND Simple'!D51</f>
        <v>1.6367086100435776E-5</v>
      </c>
      <c r="E51" s="287" cm="1">
        <f t="array" aca="1" ref="E51" ca="1">_xlfn.XLOOKUP($B51&amp;E$15,'Gas Useage'!$A$4:$A$15&amp;'Gas Useage'!$B$4:$B$15,_xlfn.XLOOKUP($C51&amp;E$14,'Gas Useage'!$C$2:$AB$2&amp;'Gas Useage'!$C$3:$AB$3,'Gas Useage'!$C$4:$AB$15))*$C$55/2000/1000+'PMCOND Simple'!E51</f>
        <v>2.3008594428795077E-6</v>
      </c>
      <c r="F51" s="287" cm="1">
        <f t="array" aca="1" ref="F51" ca="1">_xlfn.XLOOKUP($B51&amp;F$15,'Gas Useage'!$A$4:$A$15&amp;'Gas Useage'!$B$4:$B$15,_xlfn.XLOOKUP($C51&amp;F$14,'Gas Useage'!$C$2:$AB$2&amp;'Gas Useage'!$C$3:$AB$3,'Gas Useage'!$C$4:$AB$15))*$C$55/2000/1000+'PMCOND Simple'!F51</f>
        <v>1.1845856087668302E-5</v>
      </c>
      <c r="G51" s="287" cm="1">
        <f t="array" aca="1" ref="G51" ca="1">_xlfn.XLOOKUP($B51&amp;G$15,'Gas Useage'!$A$4:$A$15&amp;'Gas Useage'!$B$4:$B$15,_xlfn.XLOOKUP($C51&amp;G$14,'Gas Useage'!$C$2:$AB$2&amp;'Gas Useage'!$C$3:$AB$3,'Gas Useage'!$C$4:$AB$15))*$C$55/2000/1000+'PMCOND Simple'!G51</f>
        <v>1.6652719776171779E-6</v>
      </c>
      <c r="H51" s="288">
        <f t="shared" ca="1" si="0"/>
        <v>0.8670171935596297</v>
      </c>
      <c r="I51" s="288">
        <f t="shared" ca="1" si="0"/>
        <v>7.7586804153508632E-2</v>
      </c>
      <c r="J51" s="288">
        <f t="shared" ca="1" si="0"/>
        <v>0.80393036125817752</v>
      </c>
      <c r="K51" s="289">
        <f t="shared" ca="1" si="0"/>
        <v>6.7000124847235859E-2</v>
      </c>
      <c r="N51" s="258"/>
    </row>
    <row r="53" spans="2:14" x14ac:dyDescent="0.2">
      <c r="B53" s="265"/>
      <c r="C53" s="265"/>
    </row>
    <row r="54" spans="2:14" x14ac:dyDescent="0.2">
      <c r="B54" s="266" t="s">
        <v>290</v>
      </c>
      <c r="C54" s="266">
        <f>'NEW Boiler 5 PTE (B005)'!$I$96</f>
        <v>1.9</v>
      </c>
      <c r="D54" s="267" t="s">
        <v>203</v>
      </c>
      <c r="E54" s="267"/>
      <c r="F54" s="267"/>
      <c r="G54" s="267"/>
    </row>
    <row r="55" spans="2:14" x14ac:dyDescent="0.2">
      <c r="B55" s="266" t="s">
        <v>291</v>
      </c>
      <c r="C55" s="269">
        <f>'NEW Boiler 5 PTE (B005)'!$E$161</f>
        <v>7.13</v>
      </c>
      <c r="D55" s="267" t="s">
        <v>203</v>
      </c>
      <c r="E55" s="267"/>
      <c r="F55" s="267"/>
      <c r="G55" s="267"/>
    </row>
    <row r="56" spans="2:14" x14ac:dyDescent="0.2">
      <c r="B56" s="266"/>
      <c r="C56" s="266"/>
      <c r="D56" s="267"/>
      <c r="E56" s="267"/>
      <c r="F56" s="267"/>
      <c r="G56" s="267"/>
    </row>
    <row r="57" spans="2:14" x14ac:dyDescent="0.2">
      <c r="B57" s="266"/>
      <c r="C57" s="266"/>
      <c r="D57" s="267"/>
      <c r="E57" s="267"/>
      <c r="F57" s="267"/>
      <c r="G57" s="267"/>
    </row>
    <row r="58" spans="2:14" x14ac:dyDescent="0.2">
      <c r="B58" s="266"/>
      <c r="C58" s="266"/>
      <c r="D58" s="267"/>
      <c r="E58" s="267"/>
      <c r="F58" s="267"/>
      <c r="G58" s="267"/>
      <c r="H58" s="267"/>
      <c r="I58" s="267"/>
      <c r="J58" s="267"/>
      <c r="K58" s="267"/>
    </row>
    <row r="61" spans="2:14" x14ac:dyDescent="0.2">
      <c r="B61" s="265"/>
      <c r="C61" s="265"/>
      <c r="D61" s="268"/>
    </row>
    <row r="62" spans="2:14" x14ac:dyDescent="0.2">
      <c r="B62" s="266"/>
      <c r="C62" s="266"/>
    </row>
    <row r="63" spans="2:14" x14ac:dyDescent="0.2">
      <c r="B63" s="266"/>
      <c r="C63" s="266"/>
    </row>
    <row r="64" spans="2:14" x14ac:dyDescent="0.2">
      <c r="B64" s="266"/>
      <c r="C64" s="266"/>
    </row>
    <row r="65" spans="2:3" x14ac:dyDescent="0.2">
      <c r="B65" s="266"/>
      <c r="C65" s="266"/>
    </row>
    <row r="66" spans="2:3" x14ac:dyDescent="0.2">
      <c r="B66" s="266"/>
      <c r="C66" s="266"/>
    </row>
    <row r="68" spans="2:3" x14ac:dyDescent="0.2">
      <c r="B68" s="266"/>
      <c r="C68" s="266"/>
    </row>
    <row r="70" spans="2:3" x14ac:dyDescent="0.2">
      <c r="B70" s="265"/>
      <c r="C70" s="265"/>
    </row>
  </sheetData>
  <mergeCells count="2">
    <mergeCell ref="D12:G12"/>
    <mergeCell ref="H12:K12"/>
  </mergeCells>
  <pageMargins left="0.7" right="0.7" top="0.75" bottom="0.75" header="0.3" footer="0.3"/>
  <pageSetup scale="6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55EE6-1F83-4048-8A10-552C1084A0CF}">
  <sheetPr>
    <tabColor theme="1"/>
  </sheetPr>
  <dimension ref="B1:U70"/>
  <sheetViews>
    <sheetView view="pageBreakPreview" zoomScale="60" zoomScaleNormal="100" workbookViewId="0">
      <selection activeCell="J40" sqref="J40:J41"/>
    </sheetView>
  </sheetViews>
  <sheetFormatPr defaultColWidth="9.140625" defaultRowHeight="12.75" x14ac:dyDescent="0.2"/>
  <cols>
    <col min="1" max="1" width="4.28515625" style="252" customWidth="1"/>
    <col min="2" max="2" width="12" style="252" customWidth="1"/>
    <col min="3" max="3" width="18.85546875" style="252" customWidth="1"/>
    <col min="4" max="7" width="8.85546875" style="252" bestFit="1" customWidth="1"/>
    <col min="8" max="13" width="9.140625" style="252"/>
    <col min="14" max="14" width="11.140625" style="252" bestFit="1" customWidth="1"/>
    <col min="15" max="15" width="17.28515625" style="252" customWidth="1"/>
    <col min="16" max="16" width="15.42578125" style="252" customWidth="1"/>
    <col min="17" max="16384" width="9.140625" style="252"/>
  </cols>
  <sheetData>
    <row r="1" spans="2:21" s="18" customFormat="1" x14ac:dyDescent="0.2">
      <c r="B1" s="28"/>
      <c r="C1" s="28"/>
      <c r="F1" s="19"/>
      <c r="G1" s="19"/>
    </row>
    <row r="2" spans="2:21" s="18" customFormat="1" x14ac:dyDescent="0.2">
      <c r="B2" s="28"/>
      <c r="C2" s="28"/>
      <c r="F2" s="19"/>
      <c r="G2" s="19"/>
    </row>
    <row r="3" spans="2:21" x14ac:dyDescent="0.2">
      <c r="B3" s="20"/>
      <c r="C3" s="20"/>
    </row>
    <row r="4" spans="2:21" x14ac:dyDescent="0.2">
      <c r="B4" s="24" t="s">
        <v>0</v>
      </c>
      <c r="C4" s="25" t="s">
        <v>261</v>
      </c>
    </row>
    <row r="5" spans="2:21" x14ac:dyDescent="0.2">
      <c r="B5" s="24" t="s">
        <v>79</v>
      </c>
      <c r="C5" s="25" t="s">
        <v>4</v>
      </c>
    </row>
    <row r="6" spans="2:21" x14ac:dyDescent="0.2">
      <c r="B6" s="24" t="s">
        <v>80</v>
      </c>
      <c r="C6" s="25" t="s">
        <v>262</v>
      </c>
    </row>
    <row r="7" spans="2:21" x14ac:dyDescent="0.2">
      <c r="B7" s="20"/>
      <c r="C7" s="20"/>
    </row>
    <row r="8" spans="2:21" x14ac:dyDescent="0.2">
      <c r="B8" s="26"/>
      <c r="C8" s="26"/>
    </row>
    <row r="9" spans="2:21" x14ac:dyDescent="0.2">
      <c r="B9" s="26"/>
      <c r="C9" s="26"/>
    </row>
    <row r="10" spans="2:21" x14ac:dyDescent="0.2">
      <c r="B10" s="27" t="s">
        <v>263</v>
      </c>
      <c r="C10" s="35" t="s">
        <v>65</v>
      </c>
    </row>
    <row r="11" spans="2:21" s="253" customFormat="1" ht="15" customHeight="1" thickBot="1" x14ac:dyDescent="0.25">
      <c r="O11" s="252"/>
      <c r="P11" s="252"/>
      <c r="Q11" s="252"/>
      <c r="R11" s="252"/>
      <c r="S11" s="252"/>
      <c r="T11" s="252"/>
      <c r="U11" s="252"/>
    </row>
    <row r="12" spans="2:21" ht="16.5" customHeight="1" thickBot="1" x14ac:dyDescent="0.25">
      <c r="B12" s="30"/>
      <c r="C12" s="30"/>
      <c r="D12" s="552" t="s">
        <v>265</v>
      </c>
      <c r="E12" s="553"/>
      <c r="F12" s="553"/>
      <c r="G12" s="554"/>
      <c r="H12" s="552" t="s">
        <v>266</v>
      </c>
      <c r="I12" s="553"/>
      <c r="J12" s="553"/>
      <c r="K12" s="554"/>
      <c r="L12" s="254"/>
    </row>
    <row r="13" spans="2:21" ht="27.75" thickBot="1" x14ac:dyDescent="0.25">
      <c r="B13" s="29" t="s">
        <v>267</v>
      </c>
      <c r="C13" s="29" t="s">
        <v>268</v>
      </c>
      <c r="D13" s="531" t="s">
        <v>269</v>
      </c>
      <c r="E13" s="532" t="s">
        <v>270</v>
      </c>
      <c r="F13" s="532" t="s">
        <v>271</v>
      </c>
      <c r="G13" s="533" t="s">
        <v>272</v>
      </c>
      <c r="H13" s="531" t="s">
        <v>269</v>
      </c>
      <c r="I13" s="532" t="s">
        <v>270</v>
      </c>
      <c r="J13" s="532" t="s">
        <v>271</v>
      </c>
      <c r="K13" s="533" t="s">
        <v>272</v>
      </c>
    </row>
    <row r="14" spans="2:21" ht="27.75" thickBot="1" x14ac:dyDescent="0.25">
      <c r="B14" s="199"/>
      <c r="C14" s="199"/>
      <c r="D14" s="531" t="s">
        <v>273</v>
      </c>
      <c r="E14" s="532" t="s">
        <v>274</v>
      </c>
      <c r="F14" s="532" t="s">
        <v>273</v>
      </c>
      <c r="G14" s="533" t="s">
        <v>274</v>
      </c>
      <c r="H14" s="531"/>
      <c r="I14" s="532"/>
      <c r="J14" s="532"/>
      <c r="K14" s="533"/>
    </row>
    <row r="15" spans="2:21" ht="14.25" thickBot="1" x14ac:dyDescent="0.25">
      <c r="B15" s="199"/>
      <c r="C15" s="199"/>
      <c r="D15" s="534" t="s">
        <v>275</v>
      </c>
      <c r="E15" s="535" t="s">
        <v>275</v>
      </c>
      <c r="F15" s="535" t="s">
        <v>276</v>
      </c>
      <c r="G15" s="536" t="s">
        <v>276</v>
      </c>
      <c r="H15" s="534"/>
      <c r="I15" s="535"/>
      <c r="J15" s="535"/>
      <c r="K15" s="536"/>
    </row>
    <row r="16" spans="2:21" ht="13.5" hidden="1" x14ac:dyDescent="0.25">
      <c r="B16" s="31">
        <v>2020</v>
      </c>
      <c r="C16" s="197" t="s">
        <v>277</v>
      </c>
      <c r="D16" s="255" cm="1">
        <f t="array" aca="1" ref="D16" ca="1">_xlfn.XLOOKUP(D$13,INDIRECT("'"&amp;$B16&amp;" EI'!$B$6:$B$53"),_xlfn.XLOOKUP($C$10,INDIRECT("'"&amp;$B16&amp;" EI'!$D$4:$Z$4"),INDIRECT("'"&amp;$B16&amp;" EI'!$D$6:$Z$53")))*_xlfn.XLOOKUP($B16&amp;D$15,'Gas Useage'!$A$4:$A$15&amp;'Gas Useage'!$B$4:$B$15,_xlfn.XLOOKUP($C16&amp;D$14,'Gas Useage'!$C$2:$AB$2&amp;'Gas Useage'!$C$3:$AB$3,'Gas Useage'!$C$4:$AB$15))/_xlfn.XLOOKUP($B16&amp;D$15,'Gas Useage'!$A$4:$A$15&amp;'Gas Useage'!$B$4:$B$15,_xlfn.XLOOKUP(D$14,'Gas Useage'!$AA$3:$AB$3,'Gas Useage'!$AA$4:$AB$15))</f>
        <v>5.5039652173521074E-2</v>
      </c>
      <c r="E16" s="255" cm="1">
        <f t="array" aca="1" ref="E16" ca="1">_xlfn.XLOOKUP(E$13,INDIRECT("'"&amp;$B16&amp;" EI'!$B$6:$B$53"),_xlfn.XLOOKUP($C$10,INDIRECT("'"&amp;$B16&amp;" EI'!$D$4:$Z$4"),INDIRECT("'"&amp;$B16&amp;" EI'!$D$6:$Z$53")))*_xlfn.XLOOKUP($B16&amp;E$15,'Gas Useage'!$A$4:$A$15&amp;'Gas Useage'!$B$4:$B$15,_xlfn.XLOOKUP($C16&amp;E$14,'Gas Useage'!$C$2:$AB$2&amp;'Gas Useage'!$C$3:$AB$3,'Gas Useage'!$C$4:$AB$15))/_xlfn.XLOOKUP($B16&amp;E$15,'Gas Useage'!$A$4:$A$15&amp;'Gas Useage'!$B$4:$B$15,_xlfn.XLOOKUP(E$14,'Gas Useage'!$AA$3:$AB$3,'Gas Useage'!$AA$4:$AB$15))</f>
        <v>3.9382261052367659E-3</v>
      </c>
      <c r="F16" s="255" cm="1">
        <f t="array" aca="1" ref="F16" ca="1">_xlfn.XLOOKUP(F$13,INDIRECT("'"&amp;$B16&amp;" EI'!$B$6:$B$53"),_xlfn.XLOOKUP($C$10,INDIRECT("'"&amp;$B16&amp;" EI'!$D$4:$Z$4"),INDIRECT("'"&amp;$B16&amp;" EI'!$D$6:$Z$53")))*_xlfn.XLOOKUP($B16&amp;F$15,'Gas Useage'!$A$4:$A$15&amp;'Gas Useage'!$B$4:$B$15,_xlfn.XLOOKUP($C16&amp;F$14,'Gas Useage'!$C$2:$AB$2&amp;'Gas Useage'!$C$3:$AB$3,'Gas Useage'!$C$4:$AB$15))/_xlfn.XLOOKUP($B16&amp;F$15,'Gas Useage'!$A$4:$A$15&amp;'Gas Useage'!$B$4:$B$15,_xlfn.XLOOKUP(F$14,'Gas Useage'!$AA$3:$AB$3,'Gas Useage'!$AA$4:$AB$15))</f>
        <v>7.2054972683029211E-2</v>
      </c>
      <c r="G16" s="255" cm="1">
        <f t="array" aca="1" ref="G16" ca="1">_xlfn.XLOOKUP(G$13,INDIRECT("'"&amp;$B16&amp;" EI'!$B$6:$B$53"),_xlfn.XLOOKUP($C$10,INDIRECT("'"&amp;$B16&amp;" EI'!$D$4:$Z$4"),INDIRECT("'"&amp;$B16&amp;" EI'!$D$6:$Z$53")))*_xlfn.XLOOKUP($B16&amp;G$15,'Gas Useage'!$A$4:$A$15&amp;'Gas Useage'!$B$4:$B$15,_xlfn.XLOOKUP($C16&amp;G$14,'Gas Useage'!$C$2:$AB$2&amp;'Gas Useage'!$C$3:$AB$3,'Gas Useage'!$C$4:$AB$15))/_xlfn.XLOOKUP($B16&amp;G$15,'Gas Useage'!$A$4:$A$15&amp;'Gas Useage'!$B$4:$B$15,_xlfn.XLOOKUP(G$14,'Gas Useage'!$AA$3:$AB$3,'Gas Useage'!$AA$4:$AB$15))</f>
        <v>5.1557152566626442E-3</v>
      </c>
      <c r="H16" s="256" t="s">
        <v>278</v>
      </c>
      <c r="I16" s="256" t="s">
        <v>278</v>
      </c>
      <c r="J16" s="256" t="s">
        <v>278</v>
      </c>
      <c r="K16" s="257" t="s">
        <v>278</v>
      </c>
      <c r="N16" s="258"/>
    </row>
    <row r="17" spans="2:14" ht="13.5" hidden="1" x14ac:dyDescent="0.25">
      <c r="B17" s="32">
        <v>2020</v>
      </c>
      <c r="C17" s="198" t="s">
        <v>279</v>
      </c>
      <c r="D17" s="259" cm="1">
        <f t="array" aca="1" ref="D17" ca="1">_xlfn.XLOOKUP(D$13,INDIRECT("'"&amp;$B17&amp;" EI'!$B$6:$B$53"),_xlfn.XLOOKUP($C$10,INDIRECT("'"&amp;$B17&amp;" EI'!$D$4:$Z$4"),INDIRECT("'"&amp;$B17&amp;" EI'!$D$6:$Z$53")))*_xlfn.XLOOKUP($B17&amp;D$15,'Gas Useage'!$A$4:$A$15&amp;'Gas Useage'!$B$4:$B$15,_xlfn.XLOOKUP($C17&amp;D$14,'Gas Useage'!$C$2:$AB$2&amp;'Gas Useage'!$C$3:$AB$3,'Gas Useage'!$C$4:$AB$15))/_xlfn.XLOOKUP($B17&amp;D$15,'Gas Useage'!$A$4:$A$15&amp;'Gas Useage'!$B$4:$B$15,_xlfn.XLOOKUP(D$14,'Gas Useage'!$AA$3:$AB$3,'Gas Useage'!$AA$4:$AB$15))</f>
        <v>9.1244132758875718E-2</v>
      </c>
      <c r="E17" s="259" cm="1">
        <f t="array" aca="1" ref="E17" ca="1">_xlfn.XLOOKUP(E$13,INDIRECT("'"&amp;$B17&amp;" EI'!$B$6:$B$53"),_xlfn.XLOOKUP($C$10,INDIRECT("'"&amp;$B17&amp;" EI'!$D$4:$Z$4"),INDIRECT("'"&amp;$B17&amp;" EI'!$D$6:$Z$53")))*_xlfn.XLOOKUP($B17&amp;E$15,'Gas Useage'!$A$4:$A$15&amp;'Gas Useage'!$B$4:$B$15,_xlfn.XLOOKUP($C17&amp;E$14,'Gas Useage'!$C$2:$AB$2&amp;'Gas Useage'!$C$3:$AB$3,'Gas Useage'!$C$4:$AB$15))/_xlfn.XLOOKUP($B17&amp;E$15,'Gas Useage'!$A$4:$A$15&amp;'Gas Useage'!$B$4:$B$15,_xlfn.XLOOKUP(E$14,'Gas Useage'!$AA$3:$AB$3,'Gas Useage'!$AA$4:$AB$15))</f>
        <v>8.1726333716760097E-3</v>
      </c>
      <c r="F17" s="259" cm="1">
        <f t="array" aca="1" ref="F17" ca="1">_xlfn.XLOOKUP(F$13,INDIRECT("'"&amp;$B17&amp;" EI'!$B$6:$B$53"),_xlfn.XLOOKUP($C$10,INDIRECT("'"&amp;$B17&amp;" EI'!$D$4:$Z$4"),INDIRECT("'"&amp;$B17&amp;" EI'!$D$6:$Z$53")))*_xlfn.XLOOKUP($B17&amp;F$15,'Gas Useage'!$A$4:$A$15&amp;'Gas Useage'!$B$4:$B$15,_xlfn.XLOOKUP($C17&amp;F$14,'Gas Useage'!$C$2:$AB$2&amp;'Gas Useage'!$C$3:$AB$3,'Gas Useage'!$C$4:$AB$15))/_xlfn.XLOOKUP($B17&amp;F$15,'Gas Useage'!$A$4:$A$15&amp;'Gas Useage'!$B$4:$B$15,_xlfn.XLOOKUP(F$14,'Gas Useage'!$AA$3:$AB$3,'Gas Useage'!$AA$4:$AB$15))</f>
        <v>7.4418589061370138E-2</v>
      </c>
      <c r="G17" s="259" cm="1">
        <f t="array" aca="1" ref="G17" ca="1">_xlfn.XLOOKUP(G$13,INDIRECT("'"&amp;$B17&amp;" EI'!$B$6:$B$53"),_xlfn.XLOOKUP($C$10,INDIRECT("'"&amp;$B17&amp;" EI'!$D$4:$Z$4"),INDIRECT("'"&amp;$B17&amp;" EI'!$D$6:$Z$53")))*_xlfn.XLOOKUP($B17&amp;G$15,'Gas Useage'!$A$4:$A$15&amp;'Gas Useage'!$B$4:$B$15,_xlfn.XLOOKUP($C17&amp;G$14,'Gas Useage'!$C$2:$AB$2&amp;'Gas Useage'!$C$3:$AB$3,'Gas Useage'!$C$4:$AB$15))/_xlfn.XLOOKUP($B17&amp;G$15,'Gas Useage'!$A$4:$A$15&amp;'Gas Useage'!$B$4:$B$15,_xlfn.XLOOKUP(G$14,'Gas Useage'!$AA$3:$AB$3,'Gas Useage'!$AA$4:$AB$15))</f>
        <v>6.6655885265875948E-3</v>
      </c>
      <c r="H17" s="260" t="s">
        <v>278</v>
      </c>
      <c r="I17" s="260" t="s">
        <v>278</v>
      </c>
      <c r="J17" s="260" t="s">
        <v>278</v>
      </c>
      <c r="K17" s="261" t="s">
        <v>278</v>
      </c>
      <c r="N17" s="258"/>
    </row>
    <row r="18" spans="2:14" ht="13.5" hidden="1" x14ac:dyDescent="0.25">
      <c r="B18" s="32">
        <v>2020</v>
      </c>
      <c r="C18" s="198" t="s">
        <v>280</v>
      </c>
      <c r="D18" s="259" cm="1">
        <f t="array" aca="1" ref="D18" ca="1">_xlfn.XLOOKUP(D$13,INDIRECT("'"&amp;$B18&amp;" EI'!$B$6:$B$53"),_xlfn.XLOOKUP($C$10,INDIRECT("'"&amp;$B18&amp;" EI'!$D$4:$Z$4"),INDIRECT("'"&amp;$B18&amp;" EI'!$D$6:$Z$53")))*_xlfn.XLOOKUP($B18&amp;D$15,'Gas Useage'!$A$4:$A$15&amp;'Gas Useage'!$B$4:$B$15,_xlfn.XLOOKUP($C18&amp;D$14,'Gas Useage'!$C$2:$AB$2&amp;'Gas Useage'!$C$3:$AB$3,'Gas Useage'!$C$4:$AB$15))/_xlfn.XLOOKUP($B18&amp;D$15,'Gas Useage'!$A$4:$A$15&amp;'Gas Useage'!$B$4:$B$15,_xlfn.XLOOKUP(D$14,'Gas Useage'!$AA$3:$AB$3,'Gas Useage'!$AA$4:$AB$15))</f>
        <v>9.3132214574117134E-2</v>
      </c>
      <c r="E18" s="259" cm="1">
        <f t="array" aca="1" ref="E18" ca="1">_xlfn.XLOOKUP(E$13,INDIRECT("'"&amp;$B18&amp;" EI'!$B$6:$B$53"),_xlfn.XLOOKUP($C$10,INDIRECT("'"&amp;$B18&amp;" EI'!$D$4:$Z$4"),INDIRECT("'"&amp;$B18&amp;" EI'!$D$6:$Z$53")))*_xlfn.XLOOKUP($B18&amp;E$15,'Gas Useage'!$A$4:$A$15&amp;'Gas Useage'!$B$4:$B$15,_xlfn.XLOOKUP($C18&amp;E$14,'Gas Useage'!$C$2:$AB$2&amp;'Gas Useage'!$C$3:$AB$3,'Gas Useage'!$C$4:$AB$15))/_xlfn.XLOOKUP($B18&amp;E$15,'Gas Useage'!$A$4:$A$15&amp;'Gas Useage'!$B$4:$B$15,_xlfn.XLOOKUP(E$14,'Gas Useage'!$AA$3:$AB$3,'Gas Useage'!$AA$4:$AB$15))</f>
        <v>8.7124330114127027E-3</v>
      </c>
      <c r="F18" s="259" cm="1">
        <f t="array" aca="1" ref="F18" ca="1">_xlfn.XLOOKUP(F$13,INDIRECT("'"&amp;$B18&amp;" EI'!$B$6:$B$53"),_xlfn.XLOOKUP($C$10,INDIRECT("'"&amp;$B18&amp;" EI'!$D$4:$Z$4"),INDIRECT("'"&amp;$B18&amp;" EI'!$D$6:$Z$53")))*_xlfn.XLOOKUP($B18&amp;F$15,'Gas Useage'!$A$4:$A$15&amp;'Gas Useage'!$B$4:$B$15,_xlfn.XLOOKUP($C18&amp;F$14,'Gas Useage'!$C$2:$AB$2&amp;'Gas Useage'!$C$3:$AB$3,'Gas Useage'!$C$4:$AB$15))/_xlfn.XLOOKUP($B18&amp;F$15,'Gas Useage'!$A$4:$A$15&amp;'Gas Useage'!$B$4:$B$15,_xlfn.XLOOKUP(F$14,'Gas Useage'!$AA$3:$AB$3,'Gas Useage'!$AA$4:$AB$15))</f>
        <v>5.7890771038194053E-2</v>
      </c>
      <c r="G18" s="259" cm="1">
        <f t="array" aca="1" ref="G18" ca="1">_xlfn.XLOOKUP(G$13,INDIRECT("'"&amp;$B18&amp;" EI'!$B$6:$B$53"),_xlfn.XLOOKUP($C$10,INDIRECT("'"&amp;$B18&amp;" EI'!$D$4:$Z$4"),INDIRECT("'"&amp;$B18&amp;" EI'!$D$6:$Z$53")))*_xlfn.XLOOKUP($B18&amp;G$15,'Gas Useage'!$A$4:$A$15&amp;'Gas Useage'!$B$4:$B$15,_xlfn.XLOOKUP($C18&amp;G$14,'Gas Useage'!$C$2:$AB$2&amp;'Gas Useage'!$C$3:$AB$3,'Gas Useage'!$C$4:$AB$15))/_xlfn.XLOOKUP($B18&amp;G$15,'Gas Useage'!$A$4:$A$15&amp;'Gas Useage'!$B$4:$B$15,_xlfn.XLOOKUP(G$14,'Gas Useage'!$AA$3:$AB$3,'Gas Useage'!$AA$4:$AB$15))</f>
        <v>5.4156283833227837E-3</v>
      </c>
      <c r="H18" s="260" t="s">
        <v>278</v>
      </c>
      <c r="I18" s="260" t="s">
        <v>278</v>
      </c>
      <c r="J18" s="260" t="s">
        <v>278</v>
      </c>
      <c r="K18" s="261" t="s">
        <v>278</v>
      </c>
      <c r="N18" s="258"/>
    </row>
    <row r="19" spans="2:14" ht="13.5" hidden="1" x14ac:dyDescent="0.25">
      <c r="B19" s="32">
        <v>2020</v>
      </c>
      <c r="C19" s="198" t="s">
        <v>281</v>
      </c>
      <c r="D19" s="259" cm="1">
        <f t="array" aca="1" ref="D19" ca="1">_xlfn.XLOOKUP(D$13,INDIRECT("'"&amp;$B19&amp;" EI'!$B$6:$B$53"),_xlfn.XLOOKUP($C$10,INDIRECT("'"&amp;$B19&amp;" EI'!$D$4:$Z$4"),INDIRECT("'"&amp;$B19&amp;" EI'!$D$6:$Z$53")))*_xlfn.XLOOKUP($B19&amp;D$15,'Gas Useage'!$A$4:$A$15&amp;'Gas Useage'!$B$4:$B$15,_xlfn.XLOOKUP($C19&amp;D$14,'Gas Useage'!$C$2:$AB$2&amp;'Gas Useage'!$C$3:$AB$3,'Gas Useage'!$C$4:$AB$15))/_xlfn.XLOOKUP($B19&amp;D$15,'Gas Useage'!$A$4:$A$15&amp;'Gas Useage'!$B$4:$B$15,_xlfn.XLOOKUP(D$14,'Gas Useage'!$AA$3:$AB$3,'Gas Useage'!$AA$4:$AB$15))</f>
        <v>3.608858711958967E-2</v>
      </c>
      <c r="E19" s="259" cm="1">
        <f t="array" aca="1" ref="E19" ca="1">_xlfn.XLOOKUP(E$13,INDIRECT("'"&amp;$B19&amp;" EI'!$B$6:$B$53"),_xlfn.XLOOKUP($C$10,INDIRECT("'"&amp;$B19&amp;" EI'!$D$4:$Z$4"),INDIRECT("'"&amp;$B19&amp;" EI'!$D$6:$Z$53")))*_xlfn.XLOOKUP($B19&amp;E$15,'Gas Useage'!$A$4:$A$15&amp;'Gas Useage'!$B$4:$B$15,_xlfn.XLOOKUP($C19&amp;E$14,'Gas Useage'!$C$2:$AB$2&amp;'Gas Useage'!$C$3:$AB$3,'Gas Useage'!$C$4:$AB$15))/_xlfn.XLOOKUP($B19&amp;E$15,'Gas Useage'!$A$4:$A$15&amp;'Gas Useage'!$B$4:$B$15,_xlfn.XLOOKUP(E$14,'Gas Useage'!$AA$3:$AB$3,'Gas Useage'!$AA$4:$AB$15))</f>
        <v>3.4549229644393223E-3</v>
      </c>
      <c r="F19" s="259" cm="1">
        <f t="array" aca="1" ref="F19" ca="1">_xlfn.XLOOKUP(F$13,INDIRECT("'"&amp;$B19&amp;" EI'!$B$6:$B$53"),_xlfn.XLOOKUP($C$10,INDIRECT("'"&amp;$B19&amp;" EI'!$D$4:$Z$4"),INDIRECT("'"&amp;$B19&amp;" EI'!$D$6:$Z$53")))*_xlfn.XLOOKUP($B19&amp;F$15,'Gas Useage'!$A$4:$A$15&amp;'Gas Useage'!$B$4:$B$15,_xlfn.XLOOKUP($C19&amp;F$14,'Gas Useage'!$C$2:$AB$2&amp;'Gas Useage'!$C$3:$AB$3,'Gas Useage'!$C$4:$AB$15))/_xlfn.XLOOKUP($B19&amp;F$15,'Gas Useage'!$A$4:$A$15&amp;'Gas Useage'!$B$4:$B$15,_xlfn.XLOOKUP(F$14,'Gas Useage'!$AA$3:$AB$3,'Gas Useage'!$AA$4:$AB$15))</f>
        <v>3.6209163755472E-2</v>
      </c>
      <c r="G19" s="259" cm="1">
        <f t="array" aca="1" ref="G19" ca="1">_xlfn.XLOOKUP(G$13,INDIRECT("'"&amp;$B19&amp;" EI'!$B$6:$B$53"),_xlfn.XLOOKUP($C$10,INDIRECT("'"&amp;$B19&amp;" EI'!$D$4:$Z$4"),INDIRECT("'"&amp;$B19&amp;" EI'!$D$6:$Z$53")))*_xlfn.XLOOKUP($B19&amp;G$15,'Gas Useage'!$A$4:$A$15&amp;'Gas Useage'!$B$4:$B$15,_xlfn.XLOOKUP($C19&amp;G$14,'Gas Useage'!$C$2:$AB$2&amp;'Gas Useage'!$C$3:$AB$3,'Gas Useage'!$C$4:$AB$15))/_xlfn.XLOOKUP($B19&amp;G$15,'Gas Useage'!$A$4:$A$15&amp;'Gas Useage'!$B$4:$B$15,_xlfn.XLOOKUP(G$14,'Gas Useage'!$AA$3:$AB$3,'Gas Useage'!$AA$4:$AB$15))</f>
        <v>3.4664663087909395E-3</v>
      </c>
      <c r="H19" s="260" t="s">
        <v>278</v>
      </c>
      <c r="I19" s="260" t="s">
        <v>278</v>
      </c>
      <c r="J19" s="260" t="s">
        <v>278</v>
      </c>
      <c r="K19" s="261" t="s">
        <v>278</v>
      </c>
      <c r="N19" s="258"/>
    </row>
    <row r="20" spans="2:14" ht="13.5" hidden="1" x14ac:dyDescent="0.25">
      <c r="B20" s="32">
        <v>2020</v>
      </c>
      <c r="C20" s="198" t="s">
        <v>282</v>
      </c>
      <c r="D20" s="259" cm="1">
        <f t="array" aca="1" ref="D20" ca="1">_xlfn.XLOOKUP(D$13,INDIRECT("'"&amp;$B20&amp;" EI'!$B$6:$B$53"),_xlfn.XLOOKUP($C$10,INDIRECT("'"&amp;$B20&amp;" EI'!$D$4:$Z$4"),INDIRECT("'"&amp;$B20&amp;" EI'!$D$6:$Z$53")))*_xlfn.XLOOKUP($B20&amp;D$15,'Gas Useage'!$A$4:$A$15&amp;'Gas Useage'!$B$4:$B$15,_xlfn.XLOOKUP($C20&amp;D$14,'Gas Useage'!$C$2:$AB$2&amp;'Gas Useage'!$C$3:$AB$3,'Gas Useage'!$C$4:$AB$15))/_xlfn.XLOOKUP($B20&amp;D$15,'Gas Useage'!$A$4:$A$15&amp;'Gas Useage'!$B$4:$B$15,_xlfn.XLOOKUP(D$14,'Gas Useage'!$AA$3:$AB$3,'Gas Useage'!$AA$4:$AB$15))</f>
        <v>2.2619443090598707E-3</v>
      </c>
      <c r="E20" s="259" cm="1">
        <f t="array" aca="1" ref="E20" ca="1">_xlfn.XLOOKUP(E$13,INDIRECT("'"&amp;$B20&amp;" EI'!$B$6:$B$53"),_xlfn.XLOOKUP($C$10,INDIRECT("'"&amp;$B20&amp;" EI'!$D$4:$Z$4"),INDIRECT("'"&amp;$B20&amp;" EI'!$D$6:$Z$53")))*_xlfn.XLOOKUP($B20&amp;E$15,'Gas Useage'!$A$4:$A$15&amp;'Gas Useage'!$B$4:$B$15,_xlfn.XLOOKUP($C20&amp;E$14,'Gas Useage'!$C$2:$AB$2&amp;'Gas Useage'!$C$3:$AB$3,'Gas Useage'!$C$4:$AB$15))/_xlfn.XLOOKUP($B20&amp;E$15,'Gas Useage'!$A$4:$A$15&amp;'Gas Useage'!$B$4:$B$15,_xlfn.XLOOKUP(E$14,'Gas Useage'!$AA$3:$AB$3,'Gas Useage'!$AA$4:$AB$15))</f>
        <v>1.2619797752548139E-4</v>
      </c>
      <c r="F20" s="259" cm="1">
        <f t="array" aca="1" ref="F20" ca="1">_xlfn.XLOOKUP(F$13,INDIRECT("'"&amp;$B20&amp;" EI'!$B$6:$B$53"),_xlfn.XLOOKUP($C$10,INDIRECT("'"&amp;$B20&amp;" EI'!$D$4:$Z$4"),INDIRECT("'"&amp;$B20&amp;" EI'!$D$6:$Z$53")))*_xlfn.XLOOKUP($B20&amp;F$15,'Gas Useage'!$A$4:$A$15&amp;'Gas Useage'!$B$4:$B$15,_xlfn.XLOOKUP($C20&amp;F$14,'Gas Useage'!$C$2:$AB$2&amp;'Gas Useage'!$C$3:$AB$3,'Gas Useage'!$C$4:$AB$15))/_xlfn.XLOOKUP($B20&amp;F$15,'Gas Useage'!$A$4:$A$15&amp;'Gas Useage'!$B$4:$B$15,_xlfn.XLOOKUP(F$14,'Gas Useage'!$AA$3:$AB$3,'Gas Useage'!$AA$4:$AB$15))</f>
        <v>1.0927027250020229E-6</v>
      </c>
      <c r="G20" s="259" cm="1">
        <f t="array" aca="1" ref="G20" ca="1">_xlfn.XLOOKUP(G$13,INDIRECT("'"&amp;$B20&amp;" EI'!$B$6:$B$53"),_xlfn.XLOOKUP($C$10,INDIRECT("'"&amp;$B20&amp;" EI'!$D$4:$Z$4"),INDIRECT("'"&amp;$B20&amp;" EI'!$D$6:$Z$53")))*_xlfn.XLOOKUP($B20&amp;G$15,'Gas Useage'!$A$4:$A$15&amp;'Gas Useage'!$B$4:$B$15,_xlfn.XLOOKUP($C20&amp;G$14,'Gas Useage'!$C$2:$AB$2&amp;'Gas Useage'!$C$3:$AB$3,'Gas Useage'!$C$4:$AB$15))/_xlfn.XLOOKUP($B20&amp;G$15,'Gas Useage'!$A$4:$A$15&amp;'Gas Useage'!$B$4:$B$15,_xlfn.XLOOKUP(G$14,'Gas Useage'!$AA$3:$AB$3,'Gas Useage'!$AA$4:$AB$15))</f>
        <v>6.0963867845690489E-8</v>
      </c>
      <c r="H20" s="260" t="s">
        <v>278</v>
      </c>
      <c r="I20" s="260" t="s">
        <v>278</v>
      </c>
      <c r="J20" s="260" t="s">
        <v>278</v>
      </c>
      <c r="K20" s="261" t="s">
        <v>278</v>
      </c>
      <c r="N20" s="258"/>
    </row>
    <row r="21" spans="2:14" ht="13.5" hidden="1" x14ac:dyDescent="0.25">
      <c r="B21" s="32">
        <v>2020</v>
      </c>
      <c r="C21" s="198" t="s">
        <v>283</v>
      </c>
      <c r="D21" s="259" cm="1">
        <f t="array" aca="1" ref="D21" ca="1">_xlfn.XLOOKUP(D$13,INDIRECT("'"&amp;$B21&amp;" EI'!$B$6:$B$53"),_xlfn.XLOOKUP($C$10,INDIRECT("'"&amp;$B21&amp;" EI'!$D$4:$Z$4"),INDIRECT("'"&amp;$B21&amp;" EI'!$D$6:$Z$53")))*_xlfn.XLOOKUP($B21&amp;D$15,'Gas Useage'!$A$4:$A$15&amp;'Gas Useage'!$B$4:$B$15,_xlfn.XLOOKUP($C21&amp;D$14,'Gas Useage'!$C$2:$AB$2&amp;'Gas Useage'!$C$3:$AB$3,'Gas Useage'!$C$4:$AB$15))/_xlfn.XLOOKUP($B21&amp;D$15,'Gas Useage'!$A$4:$A$15&amp;'Gas Useage'!$B$4:$B$15,_xlfn.XLOOKUP(D$14,'Gas Useage'!$AA$3:$AB$3,'Gas Useage'!$AA$4:$AB$15))</f>
        <v>0</v>
      </c>
      <c r="E21" s="259" cm="1">
        <f t="array" aca="1" ref="E21" ca="1">_xlfn.XLOOKUP(E$13,INDIRECT("'"&amp;$B21&amp;" EI'!$B$6:$B$53"),_xlfn.XLOOKUP($C$10,INDIRECT("'"&amp;$B21&amp;" EI'!$D$4:$Z$4"),INDIRECT("'"&amp;$B21&amp;" EI'!$D$6:$Z$53")))*_xlfn.XLOOKUP($B21&amp;E$15,'Gas Useage'!$A$4:$A$15&amp;'Gas Useage'!$B$4:$B$15,_xlfn.XLOOKUP($C21&amp;E$14,'Gas Useage'!$C$2:$AB$2&amp;'Gas Useage'!$C$3:$AB$3,'Gas Useage'!$C$4:$AB$15))/_xlfn.XLOOKUP($B21&amp;E$15,'Gas Useage'!$A$4:$A$15&amp;'Gas Useage'!$B$4:$B$15,_xlfn.XLOOKUP(E$14,'Gas Useage'!$AA$3:$AB$3,'Gas Useage'!$AA$4:$AB$15))</f>
        <v>0</v>
      </c>
      <c r="F21" s="259" cm="1">
        <f t="array" aca="1" ref="F21" ca="1">_xlfn.XLOOKUP(F$13,INDIRECT("'"&amp;$B21&amp;" EI'!$B$6:$B$53"),_xlfn.XLOOKUP($C$10,INDIRECT("'"&amp;$B21&amp;" EI'!$D$4:$Z$4"),INDIRECT("'"&amp;$B21&amp;" EI'!$D$6:$Z$53")))*_xlfn.XLOOKUP($B21&amp;F$15,'Gas Useage'!$A$4:$A$15&amp;'Gas Useage'!$B$4:$B$15,_xlfn.XLOOKUP($C21&amp;F$14,'Gas Useage'!$C$2:$AB$2&amp;'Gas Useage'!$C$3:$AB$3,'Gas Useage'!$C$4:$AB$15))/_xlfn.XLOOKUP($B21&amp;F$15,'Gas Useage'!$A$4:$A$15&amp;'Gas Useage'!$B$4:$B$15,_xlfn.XLOOKUP(F$14,'Gas Useage'!$AA$3:$AB$3,'Gas Useage'!$AA$4:$AB$15))</f>
        <v>0</v>
      </c>
      <c r="G21" s="259" cm="1">
        <f t="array" aca="1" ref="G21" ca="1">_xlfn.XLOOKUP(G$13,INDIRECT("'"&amp;$B21&amp;" EI'!$B$6:$B$53"),_xlfn.XLOOKUP($C$10,INDIRECT("'"&amp;$B21&amp;" EI'!$D$4:$Z$4"),INDIRECT("'"&amp;$B21&amp;" EI'!$D$6:$Z$53")))*_xlfn.XLOOKUP($B21&amp;G$15,'Gas Useage'!$A$4:$A$15&amp;'Gas Useage'!$B$4:$B$15,_xlfn.XLOOKUP($C21&amp;G$14,'Gas Useage'!$C$2:$AB$2&amp;'Gas Useage'!$C$3:$AB$3,'Gas Useage'!$C$4:$AB$15))/_xlfn.XLOOKUP($B21&amp;G$15,'Gas Useage'!$A$4:$A$15&amp;'Gas Useage'!$B$4:$B$15,_xlfn.XLOOKUP(G$14,'Gas Useage'!$AA$3:$AB$3,'Gas Useage'!$AA$4:$AB$15))</f>
        <v>0</v>
      </c>
      <c r="H21" s="260" t="s">
        <v>278</v>
      </c>
      <c r="I21" s="260" t="s">
        <v>278</v>
      </c>
      <c r="J21" s="260" t="s">
        <v>278</v>
      </c>
      <c r="K21" s="261" t="s">
        <v>278</v>
      </c>
      <c r="N21" s="258"/>
    </row>
    <row r="22" spans="2:14" ht="13.5" hidden="1" x14ac:dyDescent="0.25">
      <c r="B22" s="32">
        <v>2020</v>
      </c>
      <c r="C22" s="198" t="s">
        <v>284</v>
      </c>
      <c r="D22" s="259" cm="1">
        <f t="array" aca="1" ref="D22" ca="1">_xlfn.XLOOKUP(D$13,INDIRECT("'"&amp;$B22&amp;" EI'!$B$6:$B$53"),_xlfn.XLOOKUP($C$10,INDIRECT("'"&amp;$B22&amp;" EI'!$D$4:$Z$4"),INDIRECT("'"&amp;$B22&amp;" EI'!$D$6:$Z$53")))*_xlfn.XLOOKUP($B22&amp;D$15,'Gas Useage'!$A$4:$A$15&amp;'Gas Useage'!$B$4:$B$15,_xlfn.XLOOKUP($C22&amp;D$14,'Gas Useage'!$C$2:$AB$2&amp;'Gas Useage'!$C$3:$AB$3,'Gas Useage'!$C$4:$AB$15))/_xlfn.XLOOKUP($B22&amp;D$15,'Gas Useage'!$A$4:$A$15&amp;'Gas Useage'!$B$4:$B$15,_xlfn.XLOOKUP(D$14,'Gas Useage'!$AA$3:$AB$3,'Gas Useage'!$AA$4:$AB$15))</f>
        <v>9.0937571560183686E-2</v>
      </c>
      <c r="E22" s="259" cm="1">
        <f t="array" aca="1" ref="E22" ca="1">_xlfn.XLOOKUP(E$13,INDIRECT("'"&amp;$B22&amp;" EI'!$B$6:$B$53"),_xlfn.XLOOKUP($C$10,INDIRECT("'"&amp;$B22&amp;" EI'!$D$4:$Z$4"),INDIRECT("'"&amp;$B22&amp;" EI'!$D$6:$Z$53")))*_xlfn.XLOOKUP($B22&amp;E$15,'Gas Useage'!$A$4:$A$15&amp;'Gas Useage'!$B$4:$B$15,_xlfn.XLOOKUP($C22&amp;E$14,'Gas Useage'!$C$2:$AB$2&amp;'Gas Useage'!$C$3:$AB$3,'Gas Useage'!$C$4:$AB$15))/_xlfn.XLOOKUP($B22&amp;E$15,'Gas Useage'!$A$4:$A$15&amp;'Gas Useage'!$B$4:$B$15,_xlfn.XLOOKUP(E$14,'Gas Useage'!$AA$3:$AB$3,'Gas Useage'!$AA$4:$AB$15))</f>
        <v>8.0933914169119704E-3</v>
      </c>
      <c r="F22" s="259" cm="1">
        <f t="array" aca="1" ref="F22" ca="1">_xlfn.XLOOKUP(F$13,INDIRECT("'"&amp;$B22&amp;" EI'!$B$6:$B$53"),_xlfn.XLOOKUP($C$10,INDIRECT("'"&amp;$B22&amp;" EI'!$D$4:$Z$4"),INDIRECT("'"&amp;$B22&amp;" EI'!$D$6:$Z$53")))*_xlfn.XLOOKUP($B22&amp;F$15,'Gas Useage'!$A$4:$A$15&amp;'Gas Useage'!$B$4:$B$15,_xlfn.XLOOKUP($C22&amp;F$14,'Gas Useage'!$C$2:$AB$2&amp;'Gas Useage'!$C$3:$AB$3,'Gas Useage'!$C$4:$AB$15))/_xlfn.XLOOKUP($B22&amp;F$15,'Gas Useage'!$A$4:$A$15&amp;'Gas Useage'!$B$4:$B$15,_xlfn.XLOOKUP(F$14,'Gas Useage'!$AA$3:$AB$3,'Gas Useage'!$AA$4:$AB$15))</f>
        <v>5.7159355128738876E-2</v>
      </c>
      <c r="G22" s="259" cm="1">
        <f t="array" aca="1" ref="G22" ca="1">_xlfn.XLOOKUP(G$13,INDIRECT("'"&amp;$B22&amp;" EI'!$B$6:$B$53"),_xlfn.XLOOKUP($C$10,INDIRECT("'"&amp;$B22&amp;" EI'!$D$4:$Z$4"),INDIRECT("'"&amp;$B22&amp;" EI'!$D$6:$Z$53")))*_xlfn.XLOOKUP($B22&amp;G$15,'Gas Useage'!$A$4:$A$15&amp;'Gas Useage'!$B$4:$B$15,_xlfn.XLOOKUP($C22&amp;G$14,'Gas Useage'!$C$2:$AB$2&amp;'Gas Useage'!$C$3:$AB$3,'Gas Useage'!$C$4:$AB$15))/_xlfn.XLOOKUP($B22&amp;G$15,'Gas Useage'!$A$4:$A$15&amp;'Gas Useage'!$B$4:$B$15,_xlfn.XLOOKUP(G$14,'Gas Useage'!$AA$3:$AB$3,'Gas Useage'!$AA$4:$AB$15))</f>
        <v>5.0871496374740458E-3</v>
      </c>
      <c r="H22" s="260" t="s">
        <v>278</v>
      </c>
      <c r="I22" s="260" t="s">
        <v>278</v>
      </c>
      <c r="J22" s="260" t="s">
        <v>278</v>
      </c>
      <c r="K22" s="261" t="s">
        <v>278</v>
      </c>
      <c r="N22" s="258"/>
    </row>
    <row r="23" spans="2:14" ht="13.5" hidden="1" x14ac:dyDescent="0.25">
      <c r="B23" s="32">
        <v>2020</v>
      </c>
      <c r="C23" s="198" t="s">
        <v>285</v>
      </c>
      <c r="D23" s="259" cm="1">
        <f t="array" aca="1" ref="D23" ca="1">_xlfn.XLOOKUP(D$13,INDIRECT("'"&amp;$B23&amp;" EI'!$B$6:$B$53"),_xlfn.XLOOKUP($C$10,INDIRECT("'"&amp;$B23&amp;" EI'!$D$4:$Z$4"),INDIRECT("'"&amp;$B23&amp;" EI'!$D$6:$Z$53")))*_xlfn.XLOOKUP($B23&amp;D$15,'Gas Useage'!$A$4:$A$15&amp;'Gas Useage'!$B$4:$B$15,_xlfn.XLOOKUP($C23&amp;D$14,'Gas Useage'!$C$2:$AB$2&amp;'Gas Useage'!$C$3:$AB$3,'Gas Useage'!$C$4:$AB$15))/_xlfn.XLOOKUP($B23&amp;D$15,'Gas Useage'!$A$4:$A$15&amp;'Gas Useage'!$B$4:$B$15,_xlfn.XLOOKUP(D$14,'Gas Useage'!$AA$3:$AB$3,'Gas Useage'!$AA$4:$AB$15))</f>
        <v>9.1465423821775721E-2</v>
      </c>
      <c r="E23" s="259" cm="1">
        <f t="array" aca="1" ref="E23" ca="1">_xlfn.XLOOKUP(E$13,INDIRECT("'"&amp;$B23&amp;" EI'!$B$6:$B$53"),_xlfn.XLOOKUP($C$10,INDIRECT("'"&amp;$B23&amp;" EI'!$D$4:$Z$4"),INDIRECT("'"&amp;$B23&amp;" EI'!$D$6:$Z$53")))*_xlfn.XLOOKUP($B23&amp;E$15,'Gas Useage'!$A$4:$A$15&amp;'Gas Useage'!$B$4:$B$15,_xlfn.XLOOKUP($C23&amp;E$14,'Gas Useage'!$C$2:$AB$2&amp;'Gas Useage'!$C$3:$AB$3,'Gas Useage'!$C$4:$AB$15))/_xlfn.XLOOKUP($B23&amp;E$15,'Gas Useage'!$A$4:$A$15&amp;'Gas Useage'!$B$4:$B$15,_xlfn.XLOOKUP(E$14,'Gas Useage'!$AA$3:$AB$3,'Gas Useage'!$AA$4:$AB$15))</f>
        <v>6.1895766900528391E-3</v>
      </c>
      <c r="F23" s="259" cm="1">
        <f t="array" aca="1" ref="F23" ca="1">_xlfn.XLOOKUP(F$13,INDIRECT("'"&amp;$B23&amp;" EI'!$B$6:$B$53"),_xlfn.XLOOKUP($C$10,INDIRECT("'"&amp;$B23&amp;" EI'!$D$4:$Z$4"),INDIRECT("'"&amp;$B23&amp;" EI'!$D$6:$Z$53")))*_xlfn.XLOOKUP($B23&amp;F$15,'Gas Useage'!$A$4:$A$15&amp;'Gas Useage'!$B$4:$B$15,_xlfn.XLOOKUP($C23&amp;F$14,'Gas Useage'!$C$2:$AB$2&amp;'Gas Useage'!$C$3:$AB$3,'Gas Useage'!$C$4:$AB$15))/_xlfn.XLOOKUP($B23&amp;F$15,'Gas Useage'!$A$4:$A$15&amp;'Gas Useage'!$B$4:$B$15,_xlfn.XLOOKUP(F$14,'Gas Useage'!$AA$3:$AB$3,'Gas Useage'!$AA$4:$AB$15))</f>
        <v>1.0596702777580387E-2</v>
      </c>
      <c r="G23" s="259" cm="1">
        <f t="array" aca="1" ref="G23" ca="1">_xlfn.XLOOKUP(G$13,INDIRECT("'"&amp;$B23&amp;" EI'!$B$6:$B$53"),_xlfn.XLOOKUP($C$10,INDIRECT("'"&amp;$B23&amp;" EI'!$D$4:$Z$4"),INDIRECT("'"&amp;$B23&amp;" EI'!$D$6:$Z$53")))*_xlfn.XLOOKUP($B23&amp;G$15,'Gas Useage'!$A$4:$A$15&amp;'Gas Useage'!$B$4:$B$15,_xlfn.XLOOKUP($C23&amp;G$14,'Gas Useage'!$C$2:$AB$2&amp;'Gas Useage'!$C$3:$AB$3,'Gas Useage'!$C$4:$AB$15))/_xlfn.XLOOKUP($B23&amp;G$15,'Gas Useage'!$A$4:$A$15&amp;'Gas Useage'!$B$4:$B$15,_xlfn.XLOOKUP(G$14,'Gas Useage'!$AA$3:$AB$3,'Gas Useage'!$AA$4:$AB$15))</f>
        <v>7.1709179013189643E-4</v>
      </c>
      <c r="H23" s="260" t="s">
        <v>278</v>
      </c>
      <c r="I23" s="260" t="s">
        <v>278</v>
      </c>
      <c r="J23" s="260" t="s">
        <v>278</v>
      </c>
      <c r="K23" s="261" t="s">
        <v>278</v>
      </c>
      <c r="N23" s="258"/>
    </row>
    <row r="24" spans="2:14" ht="13.5" hidden="1" x14ac:dyDescent="0.25">
      <c r="B24" s="32">
        <v>2020</v>
      </c>
      <c r="C24" s="198" t="s">
        <v>286</v>
      </c>
      <c r="D24" s="259" cm="1">
        <f t="array" aca="1" ref="D24" ca="1">_xlfn.XLOOKUP(D$13,INDIRECT("'"&amp;$B24&amp;" EI'!$B$6:$B$53"),_xlfn.XLOOKUP($C$10,INDIRECT("'"&amp;$B24&amp;" EI'!$D$4:$Z$4"),INDIRECT("'"&amp;$B24&amp;" EI'!$D$6:$Z$53")))*_xlfn.XLOOKUP($B24&amp;D$15,'Gas Useage'!$A$4:$A$15&amp;'Gas Useage'!$B$4:$B$15,_xlfn.XLOOKUP($C24&amp;D$14,'Gas Useage'!$C$2:$AB$2&amp;'Gas Useage'!$C$3:$AB$3,'Gas Useage'!$C$4:$AB$15))/_xlfn.XLOOKUP($B24&amp;D$15,'Gas Useage'!$A$4:$A$15&amp;'Gas Useage'!$B$4:$B$15,_xlfn.XLOOKUP(D$14,'Gas Useage'!$AA$3:$AB$3,'Gas Useage'!$AA$4:$AB$15))</f>
        <v>2.510931420532701E-2</v>
      </c>
      <c r="E24" s="259" cm="1">
        <f t="array" aca="1" ref="E24" ca="1">_xlfn.XLOOKUP(E$13,INDIRECT("'"&amp;$B24&amp;" EI'!$B$6:$B$53"),_xlfn.XLOOKUP($C$10,INDIRECT("'"&amp;$B24&amp;" EI'!$D$4:$Z$4"),INDIRECT("'"&amp;$B24&amp;" EI'!$D$6:$Z$53")))*_xlfn.XLOOKUP($B24&amp;E$15,'Gas Useage'!$A$4:$A$15&amp;'Gas Useage'!$B$4:$B$15,_xlfn.XLOOKUP($C24&amp;E$14,'Gas Useage'!$C$2:$AB$2&amp;'Gas Useage'!$C$3:$AB$3,'Gas Useage'!$C$4:$AB$15))/_xlfn.XLOOKUP($B24&amp;E$15,'Gas Useage'!$A$4:$A$15&amp;'Gas Useage'!$B$4:$B$15,_xlfn.XLOOKUP(E$14,'Gas Useage'!$AA$3:$AB$3,'Gas Useage'!$AA$4:$AB$15))</f>
        <v>2.7718734028862359E-3</v>
      </c>
      <c r="F24" s="259" cm="1">
        <f t="array" aca="1" ref="F24" ca="1">_xlfn.XLOOKUP(F$13,INDIRECT("'"&amp;$B24&amp;" EI'!$B$6:$B$53"),_xlfn.XLOOKUP($C$10,INDIRECT("'"&amp;$B24&amp;" EI'!$D$4:$Z$4"),INDIRECT("'"&amp;$B24&amp;" EI'!$D$6:$Z$53")))*_xlfn.XLOOKUP($B24&amp;F$15,'Gas Useage'!$A$4:$A$15&amp;'Gas Useage'!$B$4:$B$15,_xlfn.XLOOKUP($C24&amp;F$14,'Gas Useage'!$C$2:$AB$2&amp;'Gas Useage'!$C$3:$AB$3,'Gas Useage'!$C$4:$AB$15))/_xlfn.XLOOKUP($B24&amp;F$15,'Gas Useage'!$A$4:$A$15&amp;'Gas Useage'!$B$4:$B$15,_xlfn.XLOOKUP(F$14,'Gas Useage'!$AA$3:$AB$3,'Gas Useage'!$AA$4:$AB$15))</f>
        <v>1.7189674829106311E-4</v>
      </c>
      <c r="G24" s="259" cm="1">
        <f t="array" aca="1" ref="G24" ca="1">_xlfn.XLOOKUP(G$13,INDIRECT("'"&amp;$B24&amp;" EI'!$B$6:$B$53"),_xlfn.XLOOKUP($C$10,INDIRECT("'"&amp;$B24&amp;" EI'!$D$4:$Z$4"),INDIRECT("'"&amp;$B24&amp;" EI'!$D$6:$Z$53")))*_xlfn.XLOOKUP($B24&amp;G$15,'Gas Useage'!$A$4:$A$15&amp;'Gas Useage'!$B$4:$B$15,_xlfn.XLOOKUP($C24&amp;G$14,'Gas Useage'!$C$2:$AB$2&amp;'Gas Useage'!$C$3:$AB$3,'Gas Useage'!$C$4:$AB$15))/_xlfn.XLOOKUP($B24&amp;G$15,'Gas Useage'!$A$4:$A$15&amp;'Gas Useage'!$B$4:$B$15,_xlfn.XLOOKUP(G$14,'Gas Useage'!$AA$3:$AB$3,'Gas Useage'!$AA$4:$AB$15))</f>
        <v>1.8976066838557552E-5</v>
      </c>
      <c r="H24" s="260" t="s">
        <v>278</v>
      </c>
      <c r="I24" s="260" t="s">
        <v>278</v>
      </c>
      <c r="J24" s="260" t="s">
        <v>278</v>
      </c>
      <c r="K24" s="261" t="s">
        <v>278</v>
      </c>
      <c r="N24" s="258"/>
    </row>
    <row r="25" spans="2:14" ht="13.5" x14ac:dyDescent="0.25">
      <c r="B25" s="32">
        <v>2020</v>
      </c>
      <c r="C25" s="494" t="s">
        <v>287</v>
      </c>
      <c r="D25" s="259" cm="1">
        <f t="array" aca="1" ref="D25" ca="1">_xlfn.XLOOKUP(D$13,INDIRECT("'"&amp;$B25&amp;" EI'!$B$6:$B$53"),_xlfn.XLOOKUP($C$10,INDIRECT("'"&amp;$B25&amp;" EI'!$D$4:$Z$4"),INDIRECT("'"&amp;$B25&amp;" EI'!$D$6:$Z$53")))*_xlfn.XLOOKUP($B25&amp;D$15,'Gas Useage'!$A$4:$A$15&amp;'Gas Useage'!$B$4:$B$15,_xlfn.XLOOKUP($C25&amp;D$14,'Gas Useage'!$C$2:$AB$2&amp;'Gas Useage'!$C$3:$AB$3,'Gas Useage'!$C$4:$AB$15))/_xlfn.XLOOKUP($B25&amp;D$15,'Gas Useage'!$A$4:$A$15&amp;'Gas Useage'!$B$4:$B$15,_xlfn.XLOOKUP(D$14,'Gas Useage'!$AA$3:$AB$3,'Gas Useage'!$AA$4:$AB$15))</f>
        <v>2.9207565206738829E-2</v>
      </c>
      <c r="E25" s="259" cm="1">
        <f t="array" aca="1" ref="E25" ca="1">_xlfn.XLOOKUP(E$13,INDIRECT("'"&amp;$B25&amp;" EI'!$B$6:$B$53"),_xlfn.XLOOKUP($C$10,INDIRECT("'"&amp;$B25&amp;" EI'!$D$4:$Z$4"),INDIRECT("'"&amp;$B25&amp;" EI'!$D$6:$Z$53")))*_xlfn.XLOOKUP($B25&amp;E$15,'Gas Useage'!$A$4:$A$15&amp;'Gas Useage'!$B$4:$B$15,_xlfn.XLOOKUP($C25&amp;E$14,'Gas Useage'!$C$2:$AB$2&amp;'Gas Useage'!$C$3:$AB$3,'Gas Useage'!$C$4:$AB$15))/_xlfn.XLOOKUP($B25&amp;E$15,'Gas Useage'!$A$4:$A$15&amp;'Gas Useage'!$B$4:$B$15,_xlfn.XLOOKUP(E$14,'Gas Useage'!$AA$3:$AB$3,'Gas Useage'!$AA$4:$AB$15))</f>
        <v>2.2511766301385066E-3</v>
      </c>
      <c r="F25" s="259" cm="1">
        <f t="array" aca="1" ref="F25" ca="1">_xlfn.XLOOKUP(F$13,INDIRECT("'"&amp;$B25&amp;" EI'!$B$6:$B$53"),_xlfn.XLOOKUP($C$10,INDIRECT("'"&amp;$B25&amp;" EI'!$D$4:$Z$4"),INDIRECT("'"&amp;$B25&amp;" EI'!$D$6:$Z$53")))*_xlfn.XLOOKUP($B25&amp;F$15,'Gas Useage'!$A$4:$A$15&amp;'Gas Useage'!$B$4:$B$15,_xlfn.XLOOKUP($C25&amp;F$14,'Gas Useage'!$C$2:$AB$2&amp;'Gas Useage'!$C$3:$AB$3,'Gas Useage'!$C$4:$AB$15))/_xlfn.XLOOKUP($B25&amp;F$15,'Gas Useage'!$A$4:$A$15&amp;'Gas Useage'!$B$4:$B$15,_xlfn.XLOOKUP(F$14,'Gas Useage'!$AA$3:$AB$3,'Gas Useage'!$AA$4:$AB$15))</f>
        <v>6.7547103544519108E-2</v>
      </c>
      <c r="G25" s="259" cm="1">
        <f t="array" aca="1" ref="G25" ca="1">_xlfn.XLOOKUP(G$13,INDIRECT("'"&amp;$B25&amp;" EI'!$B$6:$B$53"),_xlfn.XLOOKUP($C$10,INDIRECT("'"&amp;$B25&amp;" EI'!$D$4:$Z$4"),INDIRECT("'"&amp;$B25&amp;" EI'!$D$6:$Z$53")))*_xlfn.XLOOKUP($B25&amp;G$15,'Gas Useage'!$A$4:$A$15&amp;'Gas Useage'!$B$4:$B$15,_xlfn.XLOOKUP($C25&amp;G$14,'Gas Useage'!$C$2:$AB$2&amp;'Gas Useage'!$C$3:$AB$3,'Gas Useage'!$C$4:$AB$15))/_xlfn.XLOOKUP($B25&amp;G$15,'Gas Useage'!$A$4:$A$15&amp;'Gas Useage'!$B$4:$B$15,_xlfn.XLOOKUP(G$14,'Gas Useage'!$AA$3:$AB$3,'Gas Useage'!$AA$4:$AB$15))</f>
        <v>5.2062011967325397E-3</v>
      </c>
      <c r="H25" s="260" t="s">
        <v>278</v>
      </c>
      <c r="I25" s="260" t="s">
        <v>278</v>
      </c>
      <c r="J25" s="260" t="s">
        <v>278</v>
      </c>
      <c r="K25" s="261" t="s">
        <v>278</v>
      </c>
      <c r="N25" s="258"/>
    </row>
    <row r="26" spans="2:14" ht="13.5" x14ac:dyDescent="0.25">
      <c r="B26" s="32">
        <v>2020</v>
      </c>
      <c r="C26" s="494" t="s">
        <v>288</v>
      </c>
      <c r="D26" s="259" cm="1">
        <f t="array" aca="1" ref="D26" ca="1">_xlfn.XLOOKUP(D$13,INDIRECT("'"&amp;$B26&amp;" EI'!$B$6:$B$53"),_xlfn.XLOOKUP($C$10,INDIRECT("'"&amp;$B26&amp;" EI'!$D$4:$Z$4"),INDIRECT("'"&amp;$B26&amp;" EI'!$D$6:$Z$53")))*_xlfn.XLOOKUP($B26&amp;D$15,'Gas Useage'!$A$4:$A$15&amp;'Gas Useage'!$B$4:$B$15,_xlfn.XLOOKUP($C26&amp;D$14,'Gas Useage'!$C$2:$AB$2&amp;'Gas Useage'!$C$3:$AB$3,'Gas Useage'!$C$4:$AB$15))/_xlfn.XLOOKUP($B26&amp;D$15,'Gas Useage'!$A$4:$A$15&amp;'Gas Useage'!$B$4:$B$15,_xlfn.XLOOKUP(D$14,'Gas Useage'!$AA$3:$AB$3,'Gas Useage'!$AA$4:$AB$15))</f>
        <v>6.2977413176966215E-2</v>
      </c>
      <c r="E26" s="259" cm="1">
        <f t="array" aca="1" ref="E26" ca="1">_xlfn.XLOOKUP(E$13,INDIRECT("'"&amp;$B26&amp;" EI'!$B$6:$B$53"),_xlfn.XLOOKUP($C$10,INDIRECT("'"&amp;$B26&amp;" EI'!$D$4:$Z$4"),INDIRECT("'"&amp;$B26&amp;" EI'!$D$6:$Z$53")))*_xlfn.XLOOKUP($B26&amp;E$15,'Gas Useage'!$A$4:$A$15&amp;'Gas Useage'!$B$4:$B$15,_xlfn.XLOOKUP($C26&amp;E$14,'Gas Useage'!$C$2:$AB$2&amp;'Gas Useage'!$C$3:$AB$3,'Gas Useage'!$C$4:$AB$15))/_xlfn.XLOOKUP($B26&amp;E$15,'Gas Useage'!$A$4:$A$15&amp;'Gas Useage'!$B$4:$B$15,_xlfn.XLOOKUP(E$14,'Gas Useage'!$AA$3:$AB$3,'Gas Useage'!$AA$4:$AB$15))</f>
        <v>6.557617261003036E-3</v>
      </c>
      <c r="F26" s="259" cm="1">
        <f t="array" aca="1" ref="F26" ca="1">_xlfn.XLOOKUP(F$13,INDIRECT("'"&amp;$B26&amp;" EI'!$B$6:$B$53"),_xlfn.XLOOKUP($C$10,INDIRECT("'"&amp;$B26&amp;" EI'!$D$4:$Z$4"),INDIRECT("'"&amp;$B26&amp;" EI'!$D$6:$Z$53")))*_xlfn.XLOOKUP($B26&amp;F$15,'Gas Useage'!$A$4:$A$15&amp;'Gas Useage'!$B$4:$B$15,_xlfn.XLOOKUP($C26&amp;F$14,'Gas Useage'!$C$2:$AB$2&amp;'Gas Useage'!$C$3:$AB$3,'Gas Useage'!$C$4:$AB$15))/_xlfn.XLOOKUP($B26&amp;F$15,'Gas Useage'!$A$4:$A$15&amp;'Gas Useage'!$B$4:$B$15,_xlfn.XLOOKUP(F$14,'Gas Useage'!$AA$3:$AB$3,'Gas Useage'!$AA$4:$AB$15))</f>
        <v>9.5329456242781427E-2</v>
      </c>
      <c r="G26" s="259" cm="1">
        <f t="array" aca="1" ref="G26" ca="1">_xlfn.XLOOKUP(G$13,INDIRECT("'"&amp;$B26&amp;" EI'!$B$6:$B$53"),_xlfn.XLOOKUP($C$10,INDIRECT("'"&amp;$B26&amp;" EI'!$D$4:$Z$4"),INDIRECT("'"&amp;$B26&amp;" EI'!$D$6:$Z$53")))*_xlfn.XLOOKUP($B26&amp;G$15,'Gas Useage'!$A$4:$A$15&amp;'Gas Useage'!$B$4:$B$15,_xlfn.XLOOKUP($C26&amp;G$14,'Gas Useage'!$C$2:$AB$2&amp;'Gas Useage'!$C$3:$AB$3,'Gas Useage'!$C$4:$AB$15))/_xlfn.XLOOKUP($B26&amp;G$15,'Gas Useage'!$A$4:$A$15&amp;'Gas Useage'!$B$4:$B$15,_xlfn.XLOOKUP(G$14,'Gas Useage'!$AA$3:$AB$3,'Gas Useage'!$AA$4:$AB$15))</f>
        <v>9.9263220923837218E-3</v>
      </c>
      <c r="H26" s="260" t="s">
        <v>278</v>
      </c>
      <c r="I26" s="260" t="s">
        <v>278</v>
      </c>
      <c r="J26" s="260" t="s">
        <v>278</v>
      </c>
      <c r="K26" s="261" t="s">
        <v>278</v>
      </c>
      <c r="N26" s="258"/>
    </row>
    <row r="27" spans="2:14" ht="13.5" x14ac:dyDescent="0.25">
      <c r="B27" s="32">
        <v>2020</v>
      </c>
      <c r="C27" s="494" t="s">
        <v>289</v>
      </c>
      <c r="D27" s="259" cm="1">
        <f t="array" aca="1" ref="D27" ca="1">_xlfn.XLOOKUP(D$13,INDIRECT("'"&amp;$B27&amp;" EI'!$B$6:$B$53"),_xlfn.XLOOKUP($C$10,INDIRECT("'"&amp;$B27&amp;" EI'!$D$4:$Z$4"),INDIRECT("'"&amp;$B27&amp;" EI'!$D$6:$Z$53")))*_xlfn.XLOOKUP($B27&amp;D$15,'Gas Useage'!$A$4:$A$15&amp;'Gas Useage'!$B$4:$B$15,_xlfn.XLOOKUP($C27&amp;D$14,'Gas Useage'!$C$2:$AB$2&amp;'Gas Useage'!$C$3:$AB$3,'Gas Useage'!$C$4:$AB$15))/_xlfn.XLOOKUP($B27&amp;D$15,'Gas Useage'!$A$4:$A$15&amp;'Gas Useage'!$B$4:$B$15,_xlfn.XLOOKUP(D$14,'Gas Useage'!$AA$3:$AB$3,'Gas Useage'!$AA$4:$AB$15))</f>
        <v>6.2977413176966215E-2</v>
      </c>
      <c r="E27" s="259" cm="1">
        <f t="array" aca="1" ref="E27" ca="1">_xlfn.XLOOKUP(E$13,INDIRECT("'"&amp;$B27&amp;" EI'!$B$6:$B$53"),_xlfn.XLOOKUP($C$10,INDIRECT("'"&amp;$B27&amp;" EI'!$D$4:$Z$4"),INDIRECT("'"&amp;$B27&amp;" EI'!$D$6:$Z$53")))*_xlfn.XLOOKUP($B27&amp;E$15,'Gas Useage'!$A$4:$A$15&amp;'Gas Useage'!$B$4:$B$15,_xlfn.XLOOKUP($C27&amp;E$14,'Gas Useage'!$C$2:$AB$2&amp;'Gas Useage'!$C$3:$AB$3,'Gas Useage'!$C$4:$AB$15))/_xlfn.XLOOKUP($B27&amp;E$15,'Gas Useage'!$A$4:$A$15&amp;'Gas Useage'!$B$4:$B$15,_xlfn.XLOOKUP(E$14,'Gas Useage'!$AA$3:$AB$3,'Gas Useage'!$AA$4:$AB$15))</f>
        <v>6.557617261003036E-3</v>
      </c>
      <c r="F27" s="259" cm="1">
        <f t="array" aca="1" ref="F27" ca="1">_xlfn.XLOOKUP(F$13,INDIRECT("'"&amp;$B27&amp;" EI'!$B$6:$B$53"),_xlfn.XLOOKUP($C$10,INDIRECT("'"&amp;$B27&amp;" EI'!$D$4:$Z$4"),INDIRECT("'"&amp;$B27&amp;" EI'!$D$6:$Z$53")))*_xlfn.XLOOKUP($B27&amp;F$15,'Gas Useage'!$A$4:$A$15&amp;'Gas Useage'!$B$4:$B$15,_xlfn.XLOOKUP($C27&amp;F$14,'Gas Useage'!$C$2:$AB$2&amp;'Gas Useage'!$C$3:$AB$3,'Gas Useage'!$C$4:$AB$15))/_xlfn.XLOOKUP($B27&amp;F$15,'Gas Useage'!$A$4:$A$15&amp;'Gas Useage'!$B$4:$B$15,_xlfn.XLOOKUP(F$14,'Gas Useage'!$AA$3:$AB$3,'Gas Useage'!$AA$4:$AB$15))</f>
        <v>9.5329456242781427E-2</v>
      </c>
      <c r="G27" s="259" cm="1">
        <f t="array" aca="1" ref="G27" ca="1">_xlfn.XLOOKUP(G$13,INDIRECT("'"&amp;$B27&amp;" EI'!$B$6:$B$53"),_xlfn.XLOOKUP($C$10,INDIRECT("'"&amp;$B27&amp;" EI'!$D$4:$Z$4"),INDIRECT("'"&amp;$B27&amp;" EI'!$D$6:$Z$53")))*_xlfn.XLOOKUP($B27&amp;G$15,'Gas Useage'!$A$4:$A$15&amp;'Gas Useage'!$B$4:$B$15,_xlfn.XLOOKUP($C27&amp;G$14,'Gas Useage'!$C$2:$AB$2&amp;'Gas Useage'!$C$3:$AB$3,'Gas Useage'!$C$4:$AB$15))/_xlfn.XLOOKUP($B27&amp;G$15,'Gas Useage'!$A$4:$A$15&amp;'Gas Useage'!$B$4:$B$15,_xlfn.XLOOKUP(G$14,'Gas Useage'!$AA$3:$AB$3,'Gas Useage'!$AA$4:$AB$15))</f>
        <v>9.9263220923837218E-3</v>
      </c>
      <c r="H27" s="260" t="s">
        <v>278</v>
      </c>
      <c r="I27" s="260" t="s">
        <v>278</v>
      </c>
      <c r="J27" s="260" t="s">
        <v>278</v>
      </c>
      <c r="K27" s="261" t="s">
        <v>278</v>
      </c>
      <c r="N27" s="258"/>
    </row>
    <row r="28" spans="2:14" ht="13.5" x14ac:dyDescent="0.25">
      <c r="B28" s="32">
        <v>2021</v>
      </c>
      <c r="C28" s="494" t="s">
        <v>277</v>
      </c>
      <c r="D28" s="259" cm="1">
        <f t="array" aca="1" ref="D28" ca="1">_xlfn.XLOOKUP(D$13,INDIRECT("'"&amp;$B28&amp;" EI'!$B$6:$B$53"),_xlfn.XLOOKUP($C$10,INDIRECT("'"&amp;$B28&amp;" EI'!$D$4:$Z$4"),INDIRECT("'"&amp;$B28&amp;" EI'!$D$6:$Z$53")))*_xlfn.XLOOKUP($B28&amp;D$15,'Gas Useage'!$A$4:$A$15&amp;'Gas Useage'!$B$4:$B$15,_xlfn.XLOOKUP($C28&amp;D$14,'Gas Useage'!$C$2:$AB$2&amp;'Gas Useage'!$C$3:$AB$3,'Gas Useage'!$C$4:$AB$15))/_xlfn.XLOOKUP($B28&amp;D$15,'Gas Useage'!$A$4:$A$15&amp;'Gas Useage'!$B$4:$B$15,_xlfn.XLOOKUP(D$14,'Gas Useage'!$AA$3:$AB$3,'Gas Useage'!$AA$4:$AB$15))</f>
        <v>9.138039790801393E-2</v>
      </c>
      <c r="E28" s="259" cm="1">
        <f t="array" aca="1" ref="E28" ca="1">_xlfn.XLOOKUP(E$13,INDIRECT("'"&amp;$B28&amp;" EI'!$B$6:$B$53"),_xlfn.XLOOKUP($C$10,INDIRECT("'"&amp;$B28&amp;" EI'!$D$4:$Z$4"),INDIRECT("'"&amp;$B28&amp;" EI'!$D$6:$Z$53")))*_xlfn.XLOOKUP($B28&amp;E$15,'Gas Useage'!$A$4:$A$15&amp;'Gas Useage'!$B$4:$B$15,_xlfn.XLOOKUP($C28&amp;E$14,'Gas Useage'!$C$2:$AB$2&amp;'Gas Useage'!$C$3:$AB$3,'Gas Useage'!$C$4:$AB$15))/_xlfn.XLOOKUP($B28&amp;E$15,'Gas Useage'!$A$4:$A$15&amp;'Gas Useage'!$B$4:$B$15,_xlfn.XLOOKUP(E$14,'Gas Useage'!$AA$3:$AB$3,'Gas Useage'!$AA$4:$AB$15))</f>
        <v>3.1196783112331463E-3</v>
      </c>
      <c r="F28" s="259" cm="1">
        <f t="array" aca="1" ref="F28" ca="1">_xlfn.XLOOKUP(F$13,INDIRECT("'"&amp;$B28&amp;" EI'!$B$6:$B$53"),_xlfn.XLOOKUP($C$10,INDIRECT("'"&amp;$B28&amp;" EI'!$D$4:$Z$4"),INDIRECT("'"&amp;$B28&amp;" EI'!$D$6:$Z$53")))*_xlfn.XLOOKUP($B28&amp;F$15,'Gas Useage'!$A$4:$A$15&amp;'Gas Useage'!$B$4:$B$15,_xlfn.XLOOKUP($C28&amp;F$14,'Gas Useage'!$C$2:$AB$2&amp;'Gas Useage'!$C$3:$AB$3,'Gas Useage'!$C$4:$AB$15))/_xlfn.XLOOKUP($B28&amp;F$15,'Gas Useage'!$A$4:$A$15&amp;'Gas Useage'!$B$4:$B$15,_xlfn.XLOOKUP(F$14,'Gas Useage'!$AA$3:$AB$3,'Gas Useage'!$AA$4:$AB$15))</f>
        <v>0.11320181470185516</v>
      </c>
      <c r="G28" s="259" cm="1">
        <f t="array" aca="1" ref="G28" ca="1">_xlfn.XLOOKUP(G$13,INDIRECT("'"&amp;$B28&amp;" EI'!$B$6:$B$53"),_xlfn.XLOOKUP($C$10,INDIRECT("'"&amp;$B28&amp;" EI'!$D$4:$Z$4"),INDIRECT("'"&amp;$B28&amp;" EI'!$D$6:$Z$53")))*_xlfn.XLOOKUP($B28&amp;G$15,'Gas Useage'!$A$4:$A$15&amp;'Gas Useage'!$B$4:$B$15,_xlfn.XLOOKUP($C28&amp;G$14,'Gas Useage'!$C$2:$AB$2&amp;'Gas Useage'!$C$3:$AB$3,'Gas Useage'!$C$4:$AB$15))/_xlfn.XLOOKUP($B28&amp;G$15,'Gas Useage'!$A$4:$A$15&amp;'Gas Useage'!$B$4:$B$15,_xlfn.XLOOKUP(G$14,'Gas Useage'!$AA$3:$AB$3,'Gas Useage'!$AA$4:$AB$15))</f>
        <v>3.8646499052576344E-3</v>
      </c>
      <c r="H28" s="260" t="s">
        <v>278</v>
      </c>
      <c r="I28" s="260" t="s">
        <v>278</v>
      </c>
      <c r="J28" s="260" t="s">
        <v>278</v>
      </c>
      <c r="K28" s="261" t="s">
        <v>278</v>
      </c>
      <c r="N28" s="258"/>
    </row>
    <row r="29" spans="2:14" ht="13.5" x14ac:dyDescent="0.25">
      <c r="B29" s="32">
        <v>2021</v>
      </c>
      <c r="C29" s="494" t="s">
        <v>279</v>
      </c>
      <c r="D29" s="259" cm="1">
        <f t="array" aca="1" ref="D29" ca="1">_xlfn.XLOOKUP(D$13,INDIRECT("'"&amp;$B29&amp;" EI'!$B$6:$B$53"),_xlfn.XLOOKUP($C$10,INDIRECT("'"&amp;$B29&amp;" EI'!$D$4:$Z$4"),INDIRECT("'"&amp;$B29&amp;" EI'!$D$6:$Z$53")))*_xlfn.XLOOKUP($B29&amp;D$15,'Gas Useage'!$A$4:$A$15&amp;'Gas Useage'!$B$4:$B$15,_xlfn.XLOOKUP($C29&amp;D$14,'Gas Useage'!$C$2:$AB$2&amp;'Gas Useage'!$C$3:$AB$3,'Gas Useage'!$C$4:$AB$15))/_xlfn.XLOOKUP($B29&amp;D$15,'Gas Useage'!$A$4:$A$15&amp;'Gas Useage'!$B$4:$B$15,_xlfn.XLOOKUP(D$14,'Gas Useage'!$AA$3:$AB$3,'Gas Useage'!$AA$4:$AB$15))</f>
        <v>6.2019565145925111E-2</v>
      </c>
      <c r="E29" s="259" cm="1">
        <f t="array" aca="1" ref="E29" ca="1">_xlfn.XLOOKUP(E$13,INDIRECT("'"&amp;$B29&amp;" EI'!$B$6:$B$53"),_xlfn.XLOOKUP($C$10,INDIRECT("'"&amp;$B29&amp;" EI'!$D$4:$Z$4"),INDIRECT("'"&amp;$B29&amp;" EI'!$D$6:$Z$53")))*_xlfn.XLOOKUP($B29&amp;E$15,'Gas Useage'!$A$4:$A$15&amp;'Gas Useage'!$B$4:$B$15,_xlfn.XLOOKUP($C29&amp;E$14,'Gas Useage'!$C$2:$AB$2&amp;'Gas Useage'!$C$3:$AB$3,'Gas Useage'!$C$4:$AB$15))/_xlfn.XLOOKUP($B29&amp;E$15,'Gas Useage'!$A$4:$A$15&amp;'Gas Useage'!$B$4:$B$15,_xlfn.XLOOKUP(E$14,'Gas Useage'!$AA$3:$AB$3,'Gas Useage'!$AA$4:$AB$15))</f>
        <v>4.5136776215199195E-3</v>
      </c>
      <c r="F29" s="259" cm="1">
        <f t="array" aca="1" ref="F29" ca="1">_xlfn.XLOOKUP(F$13,INDIRECT("'"&amp;$B29&amp;" EI'!$B$6:$B$53"),_xlfn.XLOOKUP($C$10,INDIRECT("'"&amp;$B29&amp;" EI'!$D$4:$Z$4"),INDIRECT("'"&amp;$B29&amp;" EI'!$D$6:$Z$53")))*_xlfn.XLOOKUP($B29&amp;F$15,'Gas Useage'!$A$4:$A$15&amp;'Gas Useage'!$B$4:$B$15,_xlfn.XLOOKUP($C29&amp;F$14,'Gas Useage'!$C$2:$AB$2&amp;'Gas Useage'!$C$3:$AB$3,'Gas Useage'!$C$4:$AB$15))/_xlfn.XLOOKUP($B29&amp;F$15,'Gas Useage'!$A$4:$A$15&amp;'Gas Useage'!$B$4:$B$15,_xlfn.XLOOKUP(F$14,'Gas Useage'!$AA$3:$AB$3,'Gas Useage'!$AA$4:$AB$15))</f>
        <v>8.5039371809226758E-2</v>
      </c>
      <c r="G29" s="259" cm="1">
        <f t="array" aca="1" ref="G29" ca="1">_xlfn.XLOOKUP(G$13,INDIRECT("'"&amp;$B29&amp;" EI'!$B$6:$B$53"),_xlfn.XLOOKUP($C$10,INDIRECT("'"&amp;$B29&amp;" EI'!$D$4:$Z$4"),INDIRECT("'"&amp;$B29&amp;" EI'!$D$6:$Z$53")))*_xlfn.XLOOKUP($B29&amp;G$15,'Gas Useage'!$A$4:$A$15&amp;'Gas Useage'!$B$4:$B$15,_xlfn.XLOOKUP($C29&amp;G$14,'Gas Useage'!$C$2:$AB$2&amp;'Gas Useage'!$C$3:$AB$3,'Gas Useage'!$C$4:$AB$15))/_xlfn.XLOOKUP($B29&amp;G$15,'Gas Useage'!$A$4:$A$15&amp;'Gas Useage'!$B$4:$B$15,_xlfn.XLOOKUP(G$14,'Gas Useage'!$AA$3:$AB$3,'Gas Useage'!$AA$4:$AB$15))</f>
        <v>6.1890196840349541E-3</v>
      </c>
      <c r="H29" s="260" t="s">
        <v>278</v>
      </c>
      <c r="I29" s="260" t="s">
        <v>278</v>
      </c>
      <c r="J29" s="260" t="s">
        <v>278</v>
      </c>
      <c r="K29" s="261" t="s">
        <v>278</v>
      </c>
      <c r="N29" s="258"/>
    </row>
    <row r="30" spans="2:14" ht="13.5" x14ac:dyDescent="0.25">
      <c r="B30" s="32">
        <v>2021</v>
      </c>
      <c r="C30" s="494" t="s">
        <v>280</v>
      </c>
      <c r="D30" s="259" cm="1">
        <f t="array" aca="1" ref="D30" ca="1">_xlfn.XLOOKUP(D$13,INDIRECT("'"&amp;$B30&amp;" EI'!$B$6:$B$53"),_xlfn.XLOOKUP($C$10,INDIRECT("'"&amp;$B30&amp;" EI'!$D$4:$Z$4"),INDIRECT("'"&amp;$B30&amp;" EI'!$D$6:$Z$53")))*_xlfn.XLOOKUP($B30&amp;D$15,'Gas Useage'!$A$4:$A$15&amp;'Gas Useage'!$B$4:$B$15,_xlfn.XLOOKUP($C30&amp;D$14,'Gas Useage'!$C$2:$AB$2&amp;'Gas Useage'!$C$3:$AB$3,'Gas Useage'!$C$4:$AB$15))/_xlfn.XLOOKUP($B30&amp;D$15,'Gas Useage'!$A$4:$A$15&amp;'Gas Useage'!$B$4:$B$15,_xlfn.XLOOKUP(D$14,'Gas Useage'!$AA$3:$AB$3,'Gas Useage'!$AA$4:$AB$15))</f>
        <v>0.12963330274986587</v>
      </c>
      <c r="E30" s="259" cm="1">
        <f t="array" aca="1" ref="E30" ca="1">_xlfn.XLOOKUP(E$13,INDIRECT("'"&amp;$B30&amp;" EI'!$B$6:$B$53"),_xlfn.XLOOKUP($C$10,INDIRECT("'"&amp;$B30&amp;" EI'!$D$4:$Z$4"),INDIRECT("'"&amp;$B30&amp;" EI'!$D$6:$Z$53")))*_xlfn.XLOOKUP($B30&amp;E$15,'Gas Useage'!$A$4:$A$15&amp;'Gas Useage'!$B$4:$B$15,_xlfn.XLOOKUP($C30&amp;E$14,'Gas Useage'!$C$2:$AB$2&amp;'Gas Useage'!$C$3:$AB$3,'Gas Useage'!$C$4:$AB$15))/_xlfn.XLOOKUP($B30&amp;E$15,'Gas Useage'!$A$4:$A$15&amp;'Gas Useage'!$B$4:$B$15,_xlfn.XLOOKUP(E$14,'Gas Useage'!$AA$3:$AB$3,'Gas Useage'!$AA$4:$AB$15))</f>
        <v>7.3763857117128875E-3</v>
      </c>
      <c r="F30" s="259" cm="1">
        <f t="array" aca="1" ref="F30" ca="1">_xlfn.XLOOKUP(F$13,INDIRECT("'"&amp;$B30&amp;" EI'!$B$6:$B$53"),_xlfn.XLOOKUP($C$10,INDIRECT("'"&amp;$B30&amp;" EI'!$D$4:$Z$4"),INDIRECT("'"&amp;$B30&amp;" EI'!$D$6:$Z$53")))*_xlfn.XLOOKUP($B30&amp;F$15,'Gas Useage'!$A$4:$A$15&amp;'Gas Useage'!$B$4:$B$15,_xlfn.XLOOKUP($C30&amp;F$14,'Gas Useage'!$C$2:$AB$2&amp;'Gas Useage'!$C$3:$AB$3,'Gas Useage'!$C$4:$AB$15))/_xlfn.XLOOKUP($B30&amp;F$15,'Gas Useage'!$A$4:$A$15&amp;'Gas Useage'!$B$4:$B$15,_xlfn.XLOOKUP(F$14,'Gas Useage'!$AA$3:$AB$3,'Gas Useage'!$AA$4:$AB$15))</f>
        <v>8.9582916709594868E-2</v>
      </c>
      <c r="G30" s="259" cm="1">
        <f t="array" aca="1" ref="G30" ca="1">_xlfn.XLOOKUP(G$13,INDIRECT("'"&amp;$B30&amp;" EI'!$B$6:$B$53"),_xlfn.XLOOKUP($C$10,INDIRECT("'"&amp;$B30&amp;" EI'!$D$4:$Z$4"),INDIRECT("'"&amp;$B30&amp;" EI'!$D$6:$Z$53")))*_xlfn.XLOOKUP($B30&amp;G$15,'Gas Useage'!$A$4:$A$15&amp;'Gas Useage'!$B$4:$B$15,_xlfn.XLOOKUP($C30&amp;G$14,'Gas Useage'!$C$2:$AB$2&amp;'Gas Useage'!$C$3:$AB$3,'Gas Useage'!$C$4:$AB$15))/_xlfn.XLOOKUP($B30&amp;G$15,'Gas Useage'!$A$4:$A$15&amp;'Gas Useage'!$B$4:$B$15,_xlfn.XLOOKUP(G$14,'Gas Useage'!$AA$3:$AB$3,'Gas Useage'!$AA$4:$AB$15))</f>
        <v>5.0974412655771413E-3</v>
      </c>
      <c r="H30" s="260" t="s">
        <v>278</v>
      </c>
      <c r="I30" s="260" t="s">
        <v>278</v>
      </c>
      <c r="J30" s="260" t="s">
        <v>278</v>
      </c>
      <c r="K30" s="261" t="s">
        <v>278</v>
      </c>
      <c r="N30" s="258"/>
    </row>
    <row r="31" spans="2:14" ht="13.5" x14ac:dyDescent="0.25">
      <c r="B31" s="32">
        <v>2021</v>
      </c>
      <c r="C31" s="494" t="s">
        <v>281</v>
      </c>
      <c r="D31" s="259" cm="1">
        <f t="array" aca="1" ref="D31" ca="1">_xlfn.XLOOKUP(D$13,INDIRECT("'"&amp;$B31&amp;" EI'!$B$6:$B$53"),_xlfn.XLOOKUP($C$10,INDIRECT("'"&amp;$B31&amp;" EI'!$D$4:$Z$4"),INDIRECT("'"&amp;$B31&amp;" EI'!$D$6:$Z$53")))*_xlfn.XLOOKUP($B31&amp;D$15,'Gas Useage'!$A$4:$A$15&amp;'Gas Useage'!$B$4:$B$15,_xlfn.XLOOKUP($C31&amp;D$14,'Gas Useage'!$C$2:$AB$2&amp;'Gas Useage'!$C$3:$AB$3,'Gas Useage'!$C$4:$AB$15))/_xlfn.XLOOKUP($B31&amp;D$15,'Gas Useage'!$A$4:$A$15&amp;'Gas Useage'!$B$4:$B$15,_xlfn.XLOOKUP(D$14,'Gas Useage'!$AA$3:$AB$3,'Gas Useage'!$AA$4:$AB$15))</f>
        <v>5.8174796665397578E-2</v>
      </c>
      <c r="E31" s="259" cm="1">
        <f t="array" aca="1" ref="E31" ca="1">_xlfn.XLOOKUP(E$13,INDIRECT("'"&amp;$B31&amp;" EI'!$B$6:$B$53"),_xlfn.XLOOKUP($C$10,INDIRECT("'"&amp;$B31&amp;" EI'!$D$4:$Z$4"),INDIRECT("'"&amp;$B31&amp;" EI'!$D$6:$Z$53")))*_xlfn.XLOOKUP($B31&amp;E$15,'Gas Useage'!$A$4:$A$15&amp;'Gas Useage'!$B$4:$B$15,_xlfn.XLOOKUP($C31&amp;E$14,'Gas Useage'!$C$2:$AB$2&amp;'Gas Useage'!$C$3:$AB$3,'Gas Useage'!$C$4:$AB$15))/_xlfn.XLOOKUP($B31&amp;E$15,'Gas Useage'!$A$4:$A$15&amp;'Gas Useage'!$B$4:$B$15,_xlfn.XLOOKUP(E$14,'Gas Useage'!$AA$3:$AB$3,'Gas Useage'!$AA$4:$AB$15))</f>
        <v>2.7097805500119949E-3</v>
      </c>
      <c r="F31" s="259" cm="1">
        <f t="array" aca="1" ref="F31" ca="1">_xlfn.XLOOKUP(F$13,INDIRECT("'"&amp;$B31&amp;" EI'!$B$6:$B$53"),_xlfn.XLOOKUP($C$10,INDIRECT("'"&amp;$B31&amp;" EI'!$D$4:$Z$4"),INDIRECT("'"&amp;$B31&amp;" EI'!$D$6:$Z$53")))*_xlfn.XLOOKUP($B31&amp;F$15,'Gas Useage'!$A$4:$A$15&amp;'Gas Useage'!$B$4:$B$15,_xlfn.XLOOKUP($C31&amp;F$14,'Gas Useage'!$C$2:$AB$2&amp;'Gas Useage'!$C$3:$AB$3,'Gas Useage'!$C$4:$AB$15))/_xlfn.XLOOKUP($B31&amp;F$15,'Gas Useage'!$A$4:$A$15&amp;'Gas Useage'!$B$4:$B$15,_xlfn.XLOOKUP(F$14,'Gas Useage'!$AA$3:$AB$3,'Gas Useage'!$AA$4:$AB$15))</f>
        <v>8.5167463247731529E-2</v>
      </c>
      <c r="G31" s="259" cm="1">
        <f t="array" aca="1" ref="G31" ca="1">_xlfn.XLOOKUP(G$13,INDIRECT("'"&amp;$B31&amp;" EI'!$B$6:$B$53"),_xlfn.XLOOKUP($C$10,INDIRECT("'"&amp;$B31&amp;" EI'!$D$4:$Z$4"),INDIRECT("'"&amp;$B31&amp;" EI'!$D$6:$Z$53")))*_xlfn.XLOOKUP($B31&amp;G$15,'Gas Useage'!$A$4:$A$15&amp;'Gas Useage'!$B$4:$B$15,_xlfn.XLOOKUP($C31&amp;G$14,'Gas Useage'!$C$2:$AB$2&amp;'Gas Useage'!$C$3:$AB$3,'Gas Useage'!$C$4:$AB$15))/_xlfn.XLOOKUP($B31&amp;G$15,'Gas Useage'!$A$4:$A$15&amp;'Gas Useage'!$B$4:$B$15,_xlfn.XLOOKUP(G$14,'Gas Useage'!$AA$3:$AB$3,'Gas Useage'!$AA$4:$AB$15))</f>
        <v>3.967098273328998E-3</v>
      </c>
      <c r="H31" s="260" t="s">
        <v>278</v>
      </c>
      <c r="I31" s="260" t="s">
        <v>278</v>
      </c>
      <c r="J31" s="260" t="s">
        <v>278</v>
      </c>
      <c r="K31" s="261" t="s">
        <v>278</v>
      </c>
      <c r="N31" s="258"/>
    </row>
    <row r="32" spans="2:14" ht="13.5" x14ac:dyDescent="0.25">
      <c r="B32" s="32">
        <v>2021</v>
      </c>
      <c r="C32" s="494" t="s">
        <v>282</v>
      </c>
      <c r="D32" s="259" cm="1">
        <f t="array" aca="1" ref="D32" ca="1">_xlfn.XLOOKUP(D$13,INDIRECT("'"&amp;$B32&amp;" EI'!$B$6:$B$53"),_xlfn.XLOOKUP($C$10,INDIRECT("'"&amp;$B32&amp;" EI'!$D$4:$Z$4"),INDIRECT("'"&amp;$B32&amp;" EI'!$D$6:$Z$53")))*_xlfn.XLOOKUP($B32&amp;D$15,'Gas Useage'!$A$4:$A$15&amp;'Gas Useage'!$B$4:$B$15,_xlfn.XLOOKUP($C32&amp;D$14,'Gas Useage'!$C$2:$AB$2&amp;'Gas Useage'!$C$3:$AB$3,'Gas Useage'!$C$4:$AB$15))/_xlfn.XLOOKUP($B32&amp;D$15,'Gas Useage'!$A$4:$A$15&amp;'Gas Useage'!$B$4:$B$15,_xlfn.XLOOKUP(D$14,'Gas Useage'!$AA$3:$AB$3,'Gas Useage'!$AA$4:$AB$15))</f>
        <v>4.2484413909079408E-2</v>
      </c>
      <c r="E32" s="259" cm="1">
        <f t="array" aca="1" ref="E32" ca="1">_xlfn.XLOOKUP(E$13,INDIRECT("'"&amp;$B32&amp;" EI'!$B$6:$B$53"),_xlfn.XLOOKUP($C$10,INDIRECT("'"&amp;$B32&amp;" EI'!$D$4:$Z$4"),INDIRECT("'"&amp;$B32&amp;" EI'!$D$6:$Z$53")))*_xlfn.XLOOKUP($B32&amp;E$15,'Gas Useage'!$A$4:$A$15&amp;'Gas Useage'!$B$4:$B$15,_xlfn.XLOOKUP($C32&amp;E$14,'Gas Useage'!$C$2:$AB$2&amp;'Gas Useage'!$C$3:$AB$3,'Gas Useage'!$C$4:$AB$15))/_xlfn.XLOOKUP($B32&amp;E$15,'Gas Useage'!$A$4:$A$15&amp;'Gas Useage'!$B$4:$B$15,_xlfn.XLOOKUP(E$14,'Gas Useage'!$AA$3:$AB$3,'Gas Useage'!$AA$4:$AB$15))</f>
        <v>1.7824501462292428E-3</v>
      </c>
      <c r="F32" s="259" cm="1">
        <f t="array" aca="1" ref="F32" ca="1">_xlfn.XLOOKUP(F$13,INDIRECT("'"&amp;$B32&amp;" EI'!$B$6:$B$53"),_xlfn.XLOOKUP($C$10,INDIRECT("'"&amp;$B32&amp;" EI'!$D$4:$Z$4"),INDIRECT("'"&amp;$B32&amp;" EI'!$D$6:$Z$53")))*_xlfn.XLOOKUP($B32&amp;F$15,'Gas Useage'!$A$4:$A$15&amp;'Gas Useage'!$B$4:$B$15,_xlfn.XLOOKUP($C32&amp;F$14,'Gas Useage'!$C$2:$AB$2&amp;'Gas Useage'!$C$3:$AB$3,'Gas Useage'!$C$4:$AB$15))/_xlfn.XLOOKUP($B32&amp;F$15,'Gas Useage'!$A$4:$A$15&amp;'Gas Useage'!$B$4:$B$15,_xlfn.XLOOKUP(F$14,'Gas Useage'!$AA$3:$AB$3,'Gas Useage'!$AA$4:$AB$15))</f>
        <v>8.1965543656371487E-2</v>
      </c>
      <c r="G32" s="259" cm="1">
        <f t="array" aca="1" ref="G32" ca="1">_xlfn.XLOOKUP(G$13,INDIRECT("'"&amp;$B32&amp;" EI'!$B$6:$B$53"),_xlfn.XLOOKUP($C$10,INDIRECT("'"&amp;$B32&amp;" EI'!$D$4:$Z$4"),INDIRECT("'"&amp;$B32&amp;" EI'!$D$6:$Z$53")))*_xlfn.XLOOKUP($B32&amp;G$15,'Gas Useage'!$A$4:$A$15&amp;'Gas Useage'!$B$4:$B$15,_xlfn.XLOOKUP($C32&amp;G$14,'Gas Useage'!$C$2:$AB$2&amp;'Gas Useage'!$C$3:$AB$3,'Gas Useage'!$C$4:$AB$15))/_xlfn.XLOOKUP($B32&amp;G$15,'Gas Useage'!$A$4:$A$15&amp;'Gas Useage'!$B$4:$B$15,_xlfn.XLOOKUP(G$14,'Gas Useage'!$AA$3:$AB$3,'Gas Useage'!$AA$4:$AB$15))</f>
        <v>3.4388963347529102E-3</v>
      </c>
      <c r="H32" s="260" t="s">
        <v>278</v>
      </c>
      <c r="I32" s="260" t="s">
        <v>278</v>
      </c>
      <c r="J32" s="260" t="s">
        <v>278</v>
      </c>
      <c r="K32" s="261" t="s">
        <v>278</v>
      </c>
      <c r="N32" s="258"/>
    </row>
    <row r="33" spans="2:14" ht="13.5" x14ac:dyDescent="0.25">
      <c r="B33" s="32">
        <v>2021</v>
      </c>
      <c r="C33" s="494" t="s">
        <v>283</v>
      </c>
      <c r="D33" s="259" cm="1">
        <f t="array" aca="1" ref="D33" ca="1">_xlfn.XLOOKUP(D$13,INDIRECT("'"&amp;$B33&amp;" EI'!$B$6:$B$53"),_xlfn.XLOOKUP($C$10,INDIRECT("'"&amp;$B33&amp;" EI'!$D$4:$Z$4"),INDIRECT("'"&amp;$B33&amp;" EI'!$D$6:$Z$53")))*_xlfn.XLOOKUP($B33&amp;D$15,'Gas Useage'!$A$4:$A$15&amp;'Gas Useage'!$B$4:$B$15,_xlfn.XLOOKUP($C33&amp;D$14,'Gas Useage'!$C$2:$AB$2&amp;'Gas Useage'!$C$3:$AB$3,'Gas Useage'!$C$4:$AB$15))/_xlfn.XLOOKUP($B33&amp;D$15,'Gas Useage'!$A$4:$A$15&amp;'Gas Useage'!$B$4:$B$15,_xlfn.XLOOKUP(D$14,'Gas Useage'!$AA$3:$AB$3,'Gas Useage'!$AA$4:$AB$15))</f>
        <v>1.9283840916356997E-2</v>
      </c>
      <c r="E33" s="259" cm="1">
        <f t="array" aca="1" ref="E33" ca="1">_xlfn.XLOOKUP(E$13,INDIRECT("'"&amp;$B33&amp;" EI'!$B$6:$B$53"),_xlfn.XLOOKUP($C$10,INDIRECT("'"&amp;$B33&amp;" EI'!$D$4:$Z$4"),INDIRECT("'"&amp;$B33&amp;" EI'!$D$6:$Z$53")))*_xlfn.XLOOKUP($B33&amp;E$15,'Gas Useage'!$A$4:$A$15&amp;'Gas Useage'!$B$4:$B$15,_xlfn.XLOOKUP($C33&amp;E$14,'Gas Useage'!$C$2:$AB$2&amp;'Gas Useage'!$C$3:$AB$3,'Gas Useage'!$C$4:$AB$15))/_xlfn.XLOOKUP($B33&amp;E$15,'Gas Useage'!$A$4:$A$15&amp;'Gas Useage'!$B$4:$B$15,_xlfn.XLOOKUP(E$14,'Gas Useage'!$AA$3:$AB$3,'Gas Useage'!$AA$4:$AB$15))</f>
        <v>6.1447078430985208E-4</v>
      </c>
      <c r="F33" s="259" cm="1">
        <f t="array" aca="1" ref="F33" ca="1">_xlfn.XLOOKUP(F$13,INDIRECT("'"&amp;$B33&amp;" EI'!$B$6:$B$53"),_xlfn.XLOOKUP($C$10,INDIRECT("'"&amp;$B33&amp;" EI'!$D$4:$Z$4"),INDIRECT("'"&amp;$B33&amp;" EI'!$D$6:$Z$53")))*_xlfn.XLOOKUP($B33&amp;F$15,'Gas Useage'!$A$4:$A$15&amp;'Gas Useage'!$B$4:$B$15,_xlfn.XLOOKUP($C33&amp;F$14,'Gas Useage'!$C$2:$AB$2&amp;'Gas Useage'!$C$3:$AB$3,'Gas Useage'!$C$4:$AB$15))/_xlfn.XLOOKUP($B33&amp;F$15,'Gas Useage'!$A$4:$A$15&amp;'Gas Useage'!$B$4:$B$15,_xlfn.XLOOKUP(F$14,'Gas Useage'!$AA$3:$AB$3,'Gas Useage'!$AA$4:$AB$15))</f>
        <v>3.9066919738057426E-2</v>
      </c>
      <c r="G33" s="259" cm="1">
        <f t="array" aca="1" ref="G33" ca="1">_xlfn.XLOOKUP(G$13,INDIRECT("'"&amp;$B33&amp;" EI'!$B$6:$B$53"),_xlfn.XLOOKUP($C$10,INDIRECT("'"&amp;$B33&amp;" EI'!$D$4:$Z$4"),INDIRECT("'"&amp;$B33&amp;" EI'!$D$6:$Z$53")))*_xlfn.XLOOKUP($B33&amp;G$15,'Gas Useage'!$A$4:$A$15&amp;'Gas Useage'!$B$4:$B$15,_xlfn.XLOOKUP($C33&amp;G$14,'Gas Useage'!$C$2:$AB$2&amp;'Gas Useage'!$C$3:$AB$3,'Gas Useage'!$C$4:$AB$15))/_xlfn.XLOOKUP($B33&amp;G$15,'Gas Useage'!$A$4:$A$15&amp;'Gas Useage'!$B$4:$B$15,_xlfn.XLOOKUP(G$14,'Gas Useage'!$AA$3:$AB$3,'Gas Useage'!$AA$4:$AB$15))</f>
        <v>1.24484955648292E-3</v>
      </c>
      <c r="H33" s="260" t="s">
        <v>278</v>
      </c>
      <c r="I33" s="260" t="s">
        <v>278</v>
      </c>
      <c r="J33" s="260" t="s">
        <v>278</v>
      </c>
      <c r="K33" s="261" t="s">
        <v>278</v>
      </c>
      <c r="N33" s="258"/>
    </row>
    <row r="34" spans="2:14" ht="13.5" x14ac:dyDescent="0.25">
      <c r="B34" s="32">
        <v>2021</v>
      </c>
      <c r="C34" s="494" t="s">
        <v>284</v>
      </c>
      <c r="D34" s="259" cm="1">
        <f t="array" aca="1" ref="D34" ca="1">_xlfn.XLOOKUP(D$13,INDIRECT("'"&amp;$B34&amp;" EI'!$B$6:$B$53"),_xlfn.XLOOKUP($C$10,INDIRECT("'"&amp;$B34&amp;" EI'!$D$4:$Z$4"),INDIRECT("'"&amp;$B34&amp;" EI'!$D$6:$Z$53")))*_xlfn.XLOOKUP($B34&amp;D$15,'Gas Useage'!$A$4:$A$15&amp;'Gas Useage'!$B$4:$B$15,_xlfn.XLOOKUP($C34&amp;D$14,'Gas Useage'!$C$2:$AB$2&amp;'Gas Useage'!$C$3:$AB$3,'Gas Useage'!$C$4:$AB$15))/_xlfn.XLOOKUP($B34&amp;D$15,'Gas Useage'!$A$4:$A$15&amp;'Gas Useage'!$B$4:$B$15,_xlfn.XLOOKUP(D$14,'Gas Useage'!$AA$3:$AB$3,'Gas Useage'!$AA$4:$AB$15))</f>
        <v>4.3117265809228554E-2</v>
      </c>
      <c r="E34" s="259" cm="1">
        <f t="array" aca="1" ref="E34" ca="1">_xlfn.XLOOKUP(E$13,INDIRECT("'"&amp;$B34&amp;" EI'!$B$6:$B$53"),_xlfn.XLOOKUP($C$10,INDIRECT("'"&amp;$B34&amp;" EI'!$D$4:$Z$4"),INDIRECT("'"&amp;$B34&amp;" EI'!$D$6:$Z$53")))*_xlfn.XLOOKUP($B34&amp;E$15,'Gas Useage'!$A$4:$A$15&amp;'Gas Useage'!$B$4:$B$15,_xlfn.XLOOKUP($C34&amp;E$14,'Gas Useage'!$C$2:$AB$2&amp;'Gas Useage'!$C$3:$AB$3,'Gas Useage'!$C$4:$AB$15))/_xlfn.XLOOKUP($B34&amp;E$15,'Gas Useage'!$A$4:$A$15&amp;'Gas Useage'!$B$4:$B$15,_xlfn.XLOOKUP(E$14,'Gas Useage'!$AA$3:$AB$3,'Gas Useage'!$AA$4:$AB$15))</f>
        <v>1.033466906542887E-3</v>
      </c>
      <c r="F34" s="259" cm="1">
        <f t="array" aca="1" ref="F34" ca="1">_xlfn.XLOOKUP(F$13,INDIRECT("'"&amp;$B34&amp;" EI'!$B$6:$B$53"),_xlfn.XLOOKUP($C$10,INDIRECT("'"&amp;$B34&amp;" EI'!$D$4:$Z$4"),INDIRECT("'"&amp;$B34&amp;" EI'!$D$6:$Z$53")))*_xlfn.XLOOKUP($B34&amp;F$15,'Gas Useage'!$A$4:$A$15&amp;'Gas Useage'!$B$4:$B$15,_xlfn.XLOOKUP($C34&amp;F$14,'Gas Useage'!$C$2:$AB$2&amp;'Gas Useage'!$C$3:$AB$3,'Gas Useage'!$C$4:$AB$15))/_xlfn.XLOOKUP($B34&amp;F$15,'Gas Useage'!$A$4:$A$15&amp;'Gas Useage'!$B$4:$B$15,_xlfn.XLOOKUP(F$14,'Gas Useage'!$AA$3:$AB$3,'Gas Useage'!$AA$4:$AB$15))</f>
        <v>4.81706685736581E-2</v>
      </c>
      <c r="G34" s="259" cm="1">
        <f t="array" aca="1" ref="G34" ca="1">_xlfn.XLOOKUP(G$13,INDIRECT("'"&amp;$B34&amp;" EI'!$B$6:$B$53"),_xlfn.XLOOKUP($C$10,INDIRECT("'"&amp;$B34&amp;" EI'!$D$4:$Z$4"),INDIRECT("'"&amp;$B34&amp;" EI'!$D$6:$Z$53")))*_xlfn.XLOOKUP($B34&amp;G$15,'Gas Useage'!$A$4:$A$15&amp;'Gas Useage'!$B$4:$B$15,_xlfn.XLOOKUP($C34&amp;G$14,'Gas Useage'!$C$2:$AB$2&amp;'Gas Useage'!$C$3:$AB$3,'Gas Useage'!$C$4:$AB$15))/_xlfn.XLOOKUP($B34&amp;G$15,'Gas Useage'!$A$4:$A$15&amp;'Gas Useage'!$B$4:$B$15,_xlfn.XLOOKUP(G$14,'Gas Useage'!$AA$3:$AB$3,'Gas Useage'!$AA$4:$AB$15))</f>
        <v>1.1545906472173819E-3</v>
      </c>
      <c r="H34" s="260" t="s">
        <v>278</v>
      </c>
      <c r="I34" s="260" t="s">
        <v>278</v>
      </c>
      <c r="J34" s="260" t="s">
        <v>278</v>
      </c>
      <c r="K34" s="261" t="s">
        <v>278</v>
      </c>
      <c r="N34" s="258"/>
    </row>
    <row r="35" spans="2:14" ht="13.5" x14ac:dyDescent="0.25">
      <c r="B35" s="32">
        <v>2021</v>
      </c>
      <c r="C35" s="494" t="s">
        <v>285</v>
      </c>
      <c r="D35" s="259" cm="1">
        <f t="array" aca="1" ref="D35" ca="1">_xlfn.XLOOKUP(D$13,INDIRECT("'"&amp;$B35&amp;" EI'!$B$6:$B$53"),_xlfn.XLOOKUP($C$10,INDIRECT("'"&amp;$B35&amp;" EI'!$D$4:$Z$4"),INDIRECT("'"&amp;$B35&amp;" EI'!$D$6:$Z$53")))*_xlfn.XLOOKUP($B35&amp;D$15,'Gas Useage'!$A$4:$A$15&amp;'Gas Useage'!$B$4:$B$15,_xlfn.XLOOKUP($C35&amp;D$14,'Gas Useage'!$C$2:$AB$2&amp;'Gas Useage'!$C$3:$AB$3,'Gas Useage'!$C$4:$AB$15))/_xlfn.XLOOKUP($B35&amp;D$15,'Gas Useage'!$A$4:$A$15&amp;'Gas Useage'!$B$4:$B$15,_xlfn.XLOOKUP(D$14,'Gas Useage'!$AA$3:$AB$3,'Gas Useage'!$AA$4:$AB$15))</f>
        <v>5.1982453091909062E-2</v>
      </c>
      <c r="E35" s="259" cm="1">
        <f t="array" aca="1" ref="E35" ca="1">_xlfn.XLOOKUP(E$13,INDIRECT("'"&amp;$B35&amp;" EI'!$B$6:$B$53"),_xlfn.XLOOKUP($C$10,INDIRECT("'"&amp;$B35&amp;" EI'!$D$4:$Z$4"),INDIRECT("'"&amp;$B35&amp;" EI'!$D$6:$Z$53")))*_xlfn.XLOOKUP($B35&amp;E$15,'Gas Useage'!$A$4:$A$15&amp;'Gas Useage'!$B$4:$B$15,_xlfn.XLOOKUP($C35&amp;E$14,'Gas Useage'!$C$2:$AB$2&amp;'Gas Useage'!$C$3:$AB$3,'Gas Useage'!$C$4:$AB$15))/_xlfn.XLOOKUP($B35&amp;E$15,'Gas Useage'!$A$4:$A$15&amp;'Gas Useage'!$B$4:$B$15,_xlfn.XLOOKUP(E$14,'Gas Useage'!$AA$3:$AB$3,'Gas Useage'!$AA$4:$AB$15))</f>
        <v>3.454870693217009E-3</v>
      </c>
      <c r="F35" s="259" cm="1">
        <f t="array" aca="1" ref="F35" ca="1">_xlfn.XLOOKUP(F$13,INDIRECT("'"&amp;$B35&amp;" EI'!$B$6:$B$53"),_xlfn.XLOOKUP($C$10,INDIRECT("'"&amp;$B35&amp;" EI'!$D$4:$Z$4"),INDIRECT("'"&amp;$B35&amp;" EI'!$D$6:$Z$53")))*_xlfn.XLOOKUP($B35&amp;F$15,'Gas Useage'!$A$4:$A$15&amp;'Gas Useage'!$B$4:$B$15,_xlfn.XLOOKUP($C35&amp;F$14,'Gas Useage'!$C$2:$AB$2&amp;'Gas Useage'!$C$3:$AB$3,'Gas Useage'!$C$4:$AB$15))/_xlfn.XLOOKUP($B35&amp;F$15,'Gas Useage'!$A$4:$A$15&amp;'Gas Useage'!$B$4:$B$15,_xlfn.XLOOKUP(F$14,'Gas Useage'!$AA$3:$AB$3,'Gas Useage'!$AA$4:$AB$15))</f>
        <v>4.4334097232359433E-2</v>
      </c>
      <c r="G35" s="259" cm="1">
        <f t="array" aca="1" ref="G35" ca="1">_xlfn.XLOOKUP(G$13,INDIRECT("'"&amp;$B35&amp;" EI'!$B$6:$B$53"),_xlfn.XLOOKUP($C$10,INDIRECT("'"&amp;$B35&amp;" EI'!$D$4:$Z$4"),INDIRECT("'"&amp;$B35&amp;" EI'!$D$6:$Z$53")))*_xlfn.XLOOKUP($B35&amp;G$15,'Gas Useage'!$A$4:$A$15&amp;'Gas Useage'!$B$4:$B$15,_xlfn.XLOOKUP($C35&amp;G$14,'Gas Useage'!$C$2:$AB$2&amp;'Gas Useage'!$C$3:$AB$3,'Gas Useage'!$C$4:$AB$15))/_xlfn.XLOOKUP($B35&amp;G$15,'Gas Useage'!$A$4:$A$15&amp;'Gas Useage'!$B$4:$B$15,_xlfn.XLOOKUP(G$14,'Gas Useage'!$AA$3:$AB$3,'Gas Useage'!$AA$4:$AB$15))</f>
        <v>2.9465437686732061E-3</v>
      </c>
      <c r="H35" s="260" t="s">
        <v>278</v>
      </c>
      <c r="I35" s="260" t="s">
        <v>278</v>
      </c>
      <c r="J35" s="260" t="s">
        <v>278</v>
      </c>
      <c r="K35" s="261" t="s">
        <v>278</v>
      </c>
      <c r="N35" s="258"/>
    </row>
    <row r="36" spans="2:14" ht="13.5" x14ac:dyDescent="0.25">
      <c r="B36" s="32">
        <v>2021</v>
      </c>
      <c r="C36" s="494" t="s">
        <v>286</v>
      </c>
      <c r="D36" s="259" cm="1">
        <f t="array" aca="1" ref="D36" ca="1">_xlfn.XLOOKUP(D$13,INDIRECT("'"&amp;$B36&amp;" EI'!$B$6:$B$53"),_xlfn.XLOOKUP($C$10,INDIRECT("'"&amp;$B36&amp;" EI'!$D$4:$Z$4"),INDIRECT("'"&amp;$B36&amp;" EI'!$D$6:$Z$53")))*_xlfn.XLOOKUP($B36&amp;D$15,'Gas Useage'!$A$4:$A$15&amp;'Gas Useage'!$B$4:$B$15,_xlfn.XLOOKUP($C36&amp;D$14,'Gas Useage'!$C$2:$AB$2&amp;'Gas Useage'!$C$3:$AB$3,'Gas Useage'!$C$4:$AB$15))/_xlfn.XLOOKUP($B36&amp;D$15,'Gas Useage'!$A$4:$A$15&amp;'Gas Useage'!$B$4:$B$15,_xlfn.XLOOKUP(D$14,'Gas Useage'!$AA$3:$AB$3,'Gas Useage'!$AA$4:$AB$15))</f>
        <v>3.1102821448258305E-2</v>
      </c>
      <c r="E36" s="259" cm="1">
        <f t="array" aca="1" ref="E36" ca="1">_xlfn.XLOOKUP(E$13,INDIRECT("'"&amp;$B36&amp;" EI'!$B$6:$B$53"),_xlfn.XLOOKUP($C$10,INDIRECT("'"&amp;$B36&amp;" EI'!$D$4:$Z$4"),INDIRECT("'"&amp;$B36&amp;" EI'!$D$6:$Z$53")))*_xlfn.XLOOKUP($B36&amp;E$15,'Gas Useage'!$A$4:$A$15&amp;'Gas Useage'!$B$4:$B$15,_xlfn.XLOOKUP($C36&amp;E$14,'Gas Useage'!$C$2:$AB$2&amp;'Gas Useage'!$C$3:$AB$3,'Gas Useage'!$C$4:$AB$15))/_xlfn.XLOOKUP($B36&amp;E$15,'Gas Useage'!$A$4:$A$15&amp;'Gas Useage'!$B$4:$B$15,_xlfn.XLOOKUP(E$14,'Gas Useage'!$AA$3:$AB$3,'Gas Useage'!$AA$4:$AB$15))</f>
        <v>1.8510958259372941E-3</v>
      </c>
      <c r="F36" s="259" cm="1">
        <f t="array" aca="1" ref="F36" ca="1">_xlfn.XLOOKUP(F$13,INDIRECT("'"&amp;$B36&amp;" EI'!$B$6:$B$53"),_xlfn.XLOOKUP($C$10,INDIRECT("'"&amp;$B36&amp;" EI'!$D$4:$Z$4"),INDIRECT("'"&amp;$B36&amp;" EI'!$D$6:$Z$53")))*_xlfn.XLOOKUP($B36&amp;F$15,'Gas Useage'!$A$4:$A$15&amp;'Gas Useage'!$B$4:$B$15,_xlfn.XLOOKUP($C36&amp;F$14,'Gas Useage'!$C$2:$AB$2&amp;'Gas Useage'!$C$3:$AB$3,'Gas Useage'!$C$4:$AB$15))/_xlfn.XLOOKUP($B36&amp;F$15,'Gas Useage'!$A$4:$A$15&amp;'Gas Useage'!$B$4:$B$15,_xlfn.XLOOKUP(F$14,'Gas Useage'!$AA$3:$AB$3,'Gas Useage'!$AA$4:$AB$15))</f>
        <v>2.4772304339346293E-2</v>
      </c>
      <c r="G36" s="259" cm="1">
        <f t="array" aca="1" ref="G36" ca="1">_xlfn.XLOOKUP(G$13,INDIRECT("'"&amp;$B36&amp;" EI'!$B$6:$B$53"),_xlfn.XLOOKUP($C$10,INDIRECT("'"&amp;$B36&amp;" EI'!$D$4:$Z$4"),INDIRECT("'"&amp;$B36&amp;" EI'!$D$6:$Z$53")))*_xlfn.XLOOKUP($B36&amp;G$15,'Gas Useage'!$A$4:$A$15&amp;'Gas Useage'!$B$4:$B$15,_xlfn.XLOOKUP($C36&amp;G$14,'Gas Useage'!$C$2:$AB$2&amp;'Gas Useage'!$C$3:$AB$3,'Gas Useage'!$C$4:$AB$15))/_xlfn.XLOOKUP($B36&amp;G$15,'Gas Useage'!$A$4:$A$15&amp;'Gas Useage'!$B$4:$B$15,_xlfn.XLOOKUP(G$14,'Gas Useage'!$AA$3:$AB$3,'Gas Useage'!$AA$4:$AB$15))</f>
        <v>1.4743327783846463E-3</v>
      </c>
      <c r="H36" s="260" t="s">
        <v>278</v>
      </c>
      <c r="I36" s="260" t="s">
        <v>278</v>
      </c>
      <c r="J36" s="260" t="s">
        <v>278</v>
      </c>
      <c r="K36" s="261" t="s">
        <v>278</v>
      </c>
      <c r="N36" s="258"/>
    </row>
    <row r="37" spans="2:14" ht="13.5" x14ac:dyDescent="0.25">
      <c r="B37" s="32">
        <v>2021</v>
      </c>
      <c r="C37" s="494" t="s">
        <v>287</v>
      </c>
      <c r="D37" s="259" cm="1">
        <f t="array" aca="1" ref="D37" ca="1">_xlfn.XLOOKUP(D$13,INDIRECT("'"&amp;$B37&amp;" EI'!$B$6:$B$53"),_xlfn.XLOOKUP($C$10,INDIRECT("'"&amp;$B37&amp;" EI'!$D$4:$Z$4"),INDIRECT("'"&amp;$B37&amp;" EI'!$D$6:$Z$53")))*_xlfn.XLOOKUP($B37&amp;D$15,'Gas Useage'!$A$4:$A$15&amp;'Gas Useage'!$B$4:$B$15,_xlfn.XLOOKUP($C37&amp;D$14,'Gas Useage'!$C$2:$AB$2&amp;'Gas Useage'!$C$3:$AB$3,'Gas Useage'!$C$4:$AB$15))/_xlfn.XLOOKUP($B37&amp;D$15,'Gas Useage'!$A$4:$A$15&amp;'Gas Useage'!$B$4:$B$15,_xlfn.XLOOKUP(D$14,'Gas Useage'!$AA$3:$AB$3,'Gas Useage'!$AA$4:$AB$15))</f>
        <v>3.323373168771046E-2</v>
      </c>
      <c r="E37" s="259" cm="1">
        <f t="array" aca="1" ref="E37" ca="1">_xlfn.XLOOKUP(E$13,INDIRECT("'"&amp;$B37&amp;" EI'!$B$6:$B$53"),_xlfn.XLOOKUP($C$10,INDIRECT("'"&amp;$B37&amp;" EI'!$D$4:$Z$4"),INDIRECT("'"&amp;$B37&amp;" EI'!$D$6:$Z$53")))*_xlfn.XLOOKUP($B37&amp;E$15,'Gas Useage'!$A$4:$A$15&amp;'Gas Useage'!$B$4:$B$15,_xlfn.XLOOKUP($C37&amp;E$14,'Gas Useage'!$C$2:$AB$2&amp;'Gas Useage'!$C$3:$AB$3,'Gas Useage'!$C$4:$AB$15))/_xlfn.XLOOKUP($B37&amp;E$15,'Gas Useage'!$A$4:$A$15&amp;'Gas Useage'!$B$4:$B$15,_xlfn.XLOOKUP(E$14,'Gas Useage'!$AA$3:$AB$3,'Gas Useage'!$AA$4:$AB$15))</f>
        <v>1.7648343377177187E-3</v>
      </c>
      <c r="F37" s="259" cm="1">
        <f t="array" aca="1" ref="F37" ca="1">_xlfn.XLOOKUP(F$13,INDIRECT("'"&amp;$B37&amp;" EI'!$B$6:$B$53"),_xlfn.XLOOKUP($C$10,INDIRECT("'"&amp;$B37&amp;" EI'!$D$4:$Z$4"),INDIRECT("'"&amp;$B37&amp;" EI'!$D$6:$Z$53")))*_xlfn.XLOOKUP($B37&amp;F$15,'Gas Useage'!$A$4:$A$15&amp;'Gas Useage'!$B$4:$B$15,_xlfn.XLOOKUP($C37&amp;F$14,'Gas Useage'!$C$2:$AB$2&amp;'Gas Useage'!$C$3:$AB$3,'Gas Useage'!$C$4:$AB$15))/_xlfn.XLOOKUP($B37&amp;F$15,'Gas Useage'!$A$4:$A$15&amp;'Gas Useage'!$B$4:$B$15,_xlfn.XLOOKUP(F$14,'Gas Useage'!$AA$3:$AB$3,'Gas Useage'!$AA$4:$AB$15))</f>
        <v>2.7064375971096809E-2</v>
      </c>
      <c r="G37" s="259" cm="1">
        <f t="array" aca="1" ref="G37" ca="1">_xlfn.XLOOKUP(G$13,INDIRECT("'"&amp;$B37&amp;" EI'!$B$6:$B$53"),_xlfn.XLOOKUP($C$10,INDIRECT("'"&amp;$B37&amp;" EI'!$D$4:$Z$4"),INDIRECT("'"&amp;$B37&amp;" EI'!$D$6:$Z$53")))*_xlfn.XLOOKUP($B37&amp;G$15,'Gas Useage'!$A$4:$A$15&amp;'Gas Useage'!$B$4:$B$15,_xlfn.XLOOKUP($C37&amp;G$14,'Gas Useage'!$C$2:$AB$2&amp;'Gas Useage'!$C$3:$AB$3,'Gas Useage'!$C$4:$AB$15))/_xlfn.XLOOKUP($B37&amp;G$15,'Gas Useage'!$A$4:$A$15&amp;'Gas Useage'!$B$4:$B$15,_xlfn.XLOOKUP(G$14,'Gas Useage'!$AA$3:$AB$3,'Gas Useage'!$AA$4:$AB$15))</f>
        <v>1.4372186816552031E-3</v>
      </c>
      <c r="H37" s="260" t="s">
        <v>278</v>
      </c>
      <c r="I37" s="260" t="s">
        <v>278</v>
      </c>
      <c r="J37" s="260" t="s">
        <v>278</v>
      </c>
      <c r="K37" s="261" t="s">
        <v>278</v>
      </c>
      <c r="N37" s="258"/>
    </row>
    <row r="38" spans="2:14" ht="13.5" x14ac:dyDescent="0.25">
      <c r="B38" s="32">
        <v>2021</v>
      </c>
      <c r="C38" s="494" t="s">
        <v>288</v>
      </c>
      <c r="D38" s="259" cm="1">
        <f t="array" aca="1" ref="D38" ca="1">_xlfn.XLOOKUP(D$13,INDIRECT("'"&amp;$B38&amp;" EI'!$B$6:$B$53"),_xlfn.XLOOKUP($C$10,INDIRECT("'"&amp;$B38&amp;" EI'!$D$4:$Z$4"),INDIRECT("'"&amp;$B38&amp;" EI'!$D$6:$Z$53")))*_xlfn.XLOOKUP($B38&amp;D$15,'Gas Useage'!$A$4:$A$15&amp;'Gas Useage'!$B$4:$B$15,_xlfn.XLOOKUP($C38&amp;D$14,'Gas Useage'!$C$2:$AB$2&amp;'Gas Useage'!$C$3:$AB$3,'Gas Useage'!$C$4:$AB$15))/_xlfn.XLOOKUP($B38&amp;D$15,'Gas Useage'!$A$4:$A$15&amp;'Gas Useage'!$B$4:$B$15,_xlfn.XLOOKUP(D$14,'Gas Useage'!$AA$3:$AB$3,'Gas Useage'!$AA$4:$AB$15))</f>
        <v>0.1047158424607169</v>
      </c>
      <c r="E38" s="259" cm="1">
        <f t="array" aca="1" ref="E38" ca="1">_xlfn.XLOOKUP(E$13,INDIRECT("'"&amp;$B38&amp;" EI'!$B$6:$B$53"),_xlfn.XLOOKUP($C$10,INDIRECT("'"&amp;$B38&amp;" EI'!$D$4:$Z$4"),INDIRECT("'"&amp;$B38&amp;" EI'!$D$6:$Z$53")))*_xlfn.XLOOKUP($B38&amp;E$15,'Gas Useage'!$A$4:$A$15&amp;'Gas Useage'!$B$4:$B$15,_xlfn.XLOOKUP($C38&amp;E$14,'Gas Useage'!$C$2:$AB$2&amp;'Gas Useage'!$C$3:$AB$3,'Gas Useage'!$C$4:$AB$15))/_xlfn.XLOOKUP($B38&amp;E$15,'Gas Useage'!$A$4:$A$15&amp;'Gas Useage'!$B$4:$B$15,_xlfn.XLOOKUP(E$14,'Gas Useage'!$AA$3:$AB$3,'Gas Useage'!$AA$4:$AB$15))</f>
        <v>8.3561365270894885E-3</v>
      </c>
      <c r="F38" s="259" cm="1">
        <f t="array" aca="1" ref="F38" ca="1">_xlfn.XLOOKUP(F$13,INDIRECT("'"&amp;$B38&amp;" EI'!$B$6:$B$53"),_xlfn.XLOOKUP($C$10,INDIRECT("'"&amp;$B38&amp;" EI'!$D$4:$Z$4"),INDIRECT("'"&amp;$B38&amp;" EI'!$D$6:$Z$53")))*_xlfn.XLOOKUP($B38&amp;F$15,'Gas Useage'!$A$4:$A$15&amp;'Gas Useage'!$B$4:$B$15,_xlfn.XLOOKUP($C38&amp;F$14,'Gas Useage'!$C$2:$AB$2&amp;'Gas Useage'!$C$3:$AB$3,'Gas Useage'!$C$4:$AB$15))/_xlfn.XLOOKUP($B38&amp;F$15,'Gas Useage'!$A$4:$A$15&amp;'Gas Useage'!$B$4:$B$15,_xlfn.XLOOKUP(F$14,'Gas Useage'!$AA$3:$AB$3,'Gas Useage'!$AA$4:$AB$15))</f>
        <v>9.5422852309439823E-2</v>
      </c>
      <c r="G38" s="259" cm="1">
        <f t="array" aca="1" ref="G38" ca="1">_xlfn.XLOOKUP(G$13,INDIRECT("'"&amp;$B38&amp;" EI'!$B$6:$B$53"),_xlfn.XLOOKUP($C$10,INDIRECT("'"&amp;$B38&amp;" EI'!$D$4:$Z$4"),INDIRECT("'"&amp;$B38&amp;" EI'!$D$6:$Z$53")))*_xlfn.XLOOKUP($B38&amp;G$15,'Gas Useage'!$A$4:$A$15&amp;'Gas Useage'!$B$4:$B$15,_xlfn.XLOOKUP($C38&amp;G$14,'Gas Useage'!$C$2:$AB$2&amp;'Gas Useage'!$C$3:$AB$3,'Gas Useage'!$C$4:$AB$15))/_xlfn.XLOOKUP($B38&amp;G$15,'Gas Useage'!$A$4:$A$15&amp;'Gas Useage'!$B$4:$B$15,_xlfn.XLOOKUP(G$14,'Gas Useage'!$AA$3:$AB$3,'Gas Useage'!$AA$4:$AB$15))</f>
        <v>7.6145725705363031E-3</v>
      </c>
      <c r="H38" s="260" t="s">
        <v>278</v>
      </c>
      <c r="I38" s="260" t="s">
        <v>278</v>
      </c>
      <c r="J38" s="260" t="s">
        <v>278</v>
      </c>
      <c r="K38" s="261" t="s">
        <v>278</v>
      </c>
      <c r="N38" s="258"/>
    </row>
    <row r="39" spans="2:14" ht="13.5" x14ac:dyDescent="0.25">
      <c r="B39" s="32">
        <v>2021</v>
      </c>
      <c r="C39" s="494" t="s">
        <v>289</v>
      </c>
      <c r="D39" s="259" cm="1">
        <f t="array" aca="1" ref="D39" ca="1">_xlfn.XLOOKUP(D$13,INDIRECT("'"&amp;$B39&amp;" EI'!$B$6:$B$53"),_xlfn.XLOOKUP($C$10,INDIRECT("'"&amp;$B39&amp;" EI'!$D$4:$Z$4"),INDIRECT("'"&amp;$B39&amp;" EI'!$D$6:$Z$53")))*_xlfn.XLOOKUP($B39&amp;D$15,'Gas Useage'!$A$4:$A$15&amp;'Gas Useage'!$B$4:$B$15,_xlfn.XLOOKUP($C39&amp;D$14,'Gas Useage'!$C$2:$AB$2&amp;'Gas Useage'!$C$3:$AB$3,'Gas Useage'!$C$4:$AB$15))/_xlfn.XLOOKUP($B39&amp;D$15,'Gas Useage'!$A$4:$A$15&amp;'Gas Useage'!$B$4:$B$15,_xlfn.XLOOKUP(D$14,'Gas Useage'!$AA$3:$AB$3,'Gas Useage'!$AA$4:$AB$15))</f>
        <v>6.2816841486520766E-2</v>
      </c>
      <c r="E39" s="259" cm="1">
        <f t="array" aca="1" ref="E39" ca="1">_xlfn.XLOOKUP(E$13,INDIRECT("'"&amp;$B39&amp;" EI'!$B$6:$B$53"),_xlfn.XLOOKUP($C$10,INDIRECT("'"&amp;$B39&amp;" EI'!$D$4:$Z$4"),INDIRECT("'"&amp;$B39&amp;" EI'!$D$6:$Z$53")))*_xlfn.XLOOKUP($B39&amp;E$15,'Gas Useage'!$A$4:$A$15&amp;'Gas Useage'!$B$4:$B$15,_xlfn.XLOOKUP($C39&amp;E$14,'Gas Useage'!$C$2:$AB$2&amp;'Gas Useage'!$C$3:$AB$3,'Gas Useage'!$C$4:$AB$15))/_xlfn.XLOOKUP($B39&amp;E$15,'Gas Useage'!$A$4:$A$15&amp;'Gas Useage'!$B$4:$B$15,_xlfn.XLOOKUP(E$14,'Gas Useage'!$AA$3:$AB$3,'Gas Useage'!$AA$4:$AB$15))</f>
        <v>4.7957251362772254E-3</v>
      </c>
      <c r="F39" s="259" cm="1">
        <f t="array" aca="1" ref="F39" ca="1">_xlfn.XLOOKUP(F$13,INDIRECT("'"&amp;$B39&amp;" EI'!$B$6:$B$53"),_xlfn.XLOOKUP($C$10,INDIRECT("'"&amp;$B39&amp;" EI'!$D$4:$Z$4"),INDIRECT("'"&amp;$B39&amp;" EI'!$D$6:$Z$53")))*_xlfn.XLOOKUP($B39&amp;F$15,'Gas Useage'!$A$4:$A$15&amp;'Gas Useage'!$B$4:$B$15,_xlfn.XLOOKUP($C39&amp;F$14,'Gas Useage'!$C$2:$AB$2&amp;'Gas Useage'!$C$3:$AB$3,'Gas Useage'!$C$4:$AB$15))/_xlfn.XLOOKUP($B39&amp;F$15,'Gas Useage'!$A$4:$A$15&amp;'Gas Useage'!$B$4:$B$15,_xlfn.XLOOKUP(F$14,'Gas Useage'!$AA$3:$AB$3,'Gas Useage'!$AA$4:$AB$15))</f>
        <v>6.1014349621771269E-2</v>
      </c>
      <c r="G39" s="259" cm="1">
        <f t="array" aca="1" ref="G39" ca="1">_xlfn.XLOOKUP(G$13,INDIRECT("'"&amp;$B39&amp;" EI'!$B$6:$B$53"),_xlfn.XLOOKUP($C$10,INDIRECT("'"&amp;$B39&amp;" EI'!$D$4:$Z$4"),INDIRECT("'"&amp;$B39&amp;" EI'!$D$6:$Z$53")))*_xlfn.XLOOKUP($B39&amp;G$15,'Gas Useage'!$A$4:$A$15&amp;'Gas Useage'!$B$4:$B$15,_xlfn.XLOOKUP($C39&amp;G$14,'Gas Useage'!$C$2:$AB$2&amp;'Gas Useage'!$C$3:$AB$3,'Gas Useage'!$C$4:$AB$15))/_xlfn.XLOOKUP($B39&amp;G$15,'Gas Useage'!$A$4:$A$15&amp;'Gas Useage'!$B$4:$B$15,_xlfn.XLOOKUP(G$14,'Gas Useage'!$AA$3:$AB$3,'Gas Useage'!$AA$4:$AB$15))</f>
        <v>4.6581146589091561E-3</v>
      </c>
      <c r="H39" s="260" t="s">
        <v>278</v>
      </c>
      <c r="I39" s="260" t="s">
        <v>278</v>
      </c>
      <c r="J39" s="260" t="s">
        <v>278</v>
      </c>
      <c r="K39" s="261" t="s">
        <v>278</v>
      </c>
      <c r="N39" s="258"/>
    </row>
    <row r="40" spans="2:14" ht="13.5" x14ac:dyDescent="0.25">
      <c r="B40" s="32">
        <v>2022</v>
      </c>
      <c r="C40" s="494" t="s">
        <v>277</v>
      </c>
      <c r="D40" s="259" cm="1">
        <f t="array" aca="1" ref="D40" ca="1">_xlfn.XLOOKUP(D$13,INDIRECT("'"&amp;$B40&amp;" EI'!$B$6:$B$53"),_xlfn.XLOOKUP($C$10,INDIRECT("'"&amp;$B40&amp;" EI'!$D$4:$Z$4"),INDIRECT("'"&amp;$B40&amp;" EI'!$D$6:$Z$53")))*_xlfn.XLOOKUP($B40&amp;D$15,'Gas Useage'!$A$4:$A$15&amp;'Gas Useage'!$B$4:$B$15,_xlfn.XLOOKUP($C40&amp;D$14,'Gas Useage'!$C$2:$AB$2&amp;'Gas Useage'!$C$3:$AB$3,'Gas Useage'!$C$4:$AB$15))/_xlfn.XLOOKUP($B40&amp;D$15,'Gas Useage'!$A$4:$A$15&amp;'Gas Useage'!$B$4:$B$15,_xlfn.XLOOKUP(D$14,'Gas Useage'!$AA$3:$AB$3,'Gas Useage'!$AA$4:$AB$15))</f>
        <v>6.7041503455920512E-2</v>
      </c>
      <c r="E40" s="259" cm="1">
        <f t="array" aca="1" ref="E40" ca="1">_xlfn.XLOOKUP(E$13,INDIRECT("'"&amp;$B40&amp;" EI'!$B$6:$B$53"),_xlfn.XLOOKUP($C$10,INDIRECT("'"&amp;$B40&amp;" EI'!$D$4:$Z$4"),INDIRECT("'"&amp;$B40&amp;" EI'!$D$6:$Z$53")))*_xlfn.XLOOKUP($B40&amp;E$15,'Gas Useage'!$A$4:$A$15&amp;'Gas Useage'!$B$4:$B$15,_xlfn.XLOOKUP($C40&amp;E$14,'Gas Useage'!$C$2:$AB$2&amp;'Gas Useage'!$C$3:$AB$3,'Gas Useage'!$C$4:$AB$15))/_xlfn.XLOOKUP($B40&amp;E$15,'Gas Useage'!$A$4:$A$15&amp;'Gas Useage'!$B$4:$B$15,_xlfn.XLOOKUP(E$14,'Gas Useage'!$AA$3:$AB$3,'Gas Useage'!$AA$4:$AB$15))</f>
        <v>6.7931315536343484E-3</v>
      </c>
      <c r="F40" s="259" cm="1">
        <f t="array" aca="1" ref="F40" ca="1">_xlfn.XLOOKUP(F$13,INDIRECT("'"&amp;$B40&amp;" EI'!$B$6:$B$53"),_xlfn.XLOOKUP($C$10,INDIRECT("'"&amp;$B40&amp;" EI'!$D$4:$Z$4"),INDIRECT("'"&amp;$B40&amp;" EI'!$D$6:$Z$53")))*_xlfn.XLOOKUP($B40&amp;F$15,'Gas Useage'!$A$4:$A$15&amp;'Gas Useage'!$B$4:$B$15,_xlfn.XLOOKUP($C40&amp;F$14,'Gas Useage'!$C$2:$AB$2&amp;'Gas Useage'!$C$3:$AB$3,'Gas Useage'!$C$4:$AB$15))/_xlfn.XLOOKUP($B40&amp;F$15,'Gas Useage'!$A$4:$A$15&amp;'Gas Useage'!$B$4:$B$15,_xlfn.XLOOKUP(F$14,'Gas Useage'!$AA$3:$AB$3,'Gas Useage'!$AA$4:$AB$15))</f>
        <v>5.9611672658442874E-2</v>
      </c>
      <c r="G40" s="259" cm="1">
        <f t="array" aca="1" ref="G40" ca="1">_xlfn.XLOOKUP(G$13,INDIRECT("'"&amp;$B40&amp;" EI'!$B$6:$B$53"),_xlfn.XLOOKUP($C$10,INDIRECT("'"&amp;$B40&amp;" EI'!$D$4:$Z$4"),INDIRECT("'"&amp;$B40&amp;" EI'!$D$6:$Z$53")))*_xlfn.XLOOKUP($B40&amp;G$15,'Gas Useage'!$A$4:$A$15&amp;'Gas Useage'!$B$4:$B$15,_xlfn.XLOOKUP($C40&amp;G$14,'Gas Useage'!$C$2:$AB$2&amp;'Gas Useage'!$C$3:$AB$3,'Gas Useage'!$C$4:$AB$15))/_xlfn.XLOOKUP($B40&amp;G$15,'Gas Useage'!$A$4:$A$15&amp;'Gas Useage'!$B$4:$B$15,_xlfn.XLOOKUP(G$14,'Gas Useage'!$AA$3:$AB$3,'Gas Useage'!$AA$4:$AB$15))</f>
        <v>6.0402871896696481E-3</v>
      </c>
      <c r="H40" s="260" t="s">
        <v>278</v>
      </c>
      <c r="I40" s="260" t="s">
        <v>278</v>
      </c>
      <c r="J40" s="260" t="s">
        <v>278</v>
      </c>
      <c r="K40" s="261" t="s">
        <v>278</v>
      </c>
      <c r="N40" s="258"/>
    </row>
    <row r="41" spans="2:14" ht="13.5" x14ac:dyDescent="0.25">
      <c r="B41" s="32">
        <v>2022</v>
      </c>
      <c r="C41" s="494" t="s">
        <v>279</v>
      </c>
      <c r="D41" s="259" cm="1">
        <f t="array" aca="1" ref="D41" ca="1">_xlfn.XLOOKUP(D$13,INDIRECT("'"&amp;$B41&amp;" EI'!$B$6:$B$53"),_xlfn.XLOOKUP($C$10,INDIRECT("'"&amp;$B41&amp;" EI'!$D$4:$Z$4"),INDIRECT("'"&amp;$B41&amp;" EI'!$D$6:$Z$53")))*_xlfn.XLOOKUP($B41&amp;D$15,'Gas Useage'!$A$4:$A$15&amp;'Gas Useage'!$B$4:$B$15,_xlfn.XLOOKUP($C41&amp;D$14,'Gas Useage'!$C$2:$AB$2&amp;'Gas Useage'!$C$3:$AB$3,'Gas Useage'!$C$4:$AB$15))/_xlfn.XLOOKUP($B41&amp;D$15,'Gas Useage'!$A$4:$A$15&amp;'Gas Useage'!$B$4:$B$15,_xlfn.XLOOKUP(D$14,'Gas Useage'!$AA$3:$AB$3,'Gas Useage'!$AA$4:$AB$15))</f>
        <v>6.3906995083731127E-2</v>
      </c>
      <c r="E41" s="259" cm="1">
        <f t="array" aca="1" ref="E41" ca="1">_xlfn.XLOOKUP(E$13,INDIRECT("'"&amp;$B41&amp;" EI'!$B$6:$B$53"),_xlfn.XLOOKUP($C$10,INDIRECT("'"&amp;$B41&amp;" EI'!$D$4:$Z$4"),INDIRECT("'"&amp;$B41&amp;" EI'!$D$6:$Z$53")))*_xlfn.XLOOKUP($B41&amp;E$15,'Gas Useage'!$A$4:$A$15&amp;'Gas Useage'!$B$4:$B$15,_xlfn.XLOOKUP($C41&amp;E$14,'Gas Useage'!$C$2:$AB$2&amp;'Gas Useage'!$C$3:$AB$3,'Gas Useage'!$C$4:$AB$15))/_xlfn.XLOOKUP($B41&amp;E$15,'Gas Useage'!$A$4:$A$15&amp;'Gas Useage'!$B$4:$B$15,_xlfn.XLOOKUP(E$14,'Gas Useage'!$AA$3:$AB$3,'Gas Useage'!$AA$4:$AB$15))</f>
        <v>5.7937278241158331E-3</v>
      </c>
      <c r="F41" s="259" cm="1">
        <f t="array" aca="1" ref="F41" ca="1">_xlfn.XLOOKUP(F$13,INDIRECT("'"&amp;$B41&amp;" EI'!$B$6:$B$53"),_xlfn.XLOOKUP($C$10,INDIRECT("'"&amp;$B41&amp;" EI'!$D$4:$Z$4"),INDIRECT("'"&amp;$B41&amp;" EI'!$D$6:$Z$53")))*_xlfn.XLOOKUP($B41&amp;F$15,'Gas Useage'!$A$4:$A$15&amp;'Gas Useage'!$B$4:$B$15,_xlfn.XLOOKUP($C41&amp;F$14,'Gas Useage'!$C$2:$AB$2&amp;'Gas Useage'!$C$3:$AB$3,'Gas Useage'!$C$4:$AB$15))/_xlfn.XLOOKUP($B41&amp;F$15,'Gas Useage'!$A$4:$A$15&amp;'Gas Useage'!$B$4:$B$15,_xlfn.XLOOKUP(F$14,'Gas Useage'!$AA$3:$AB$3,'Gas Useage'!$AA$4:$AB$15))</f>
        <v>4.285694403602805E-2</v>
      </c>
      <c r="G41" s="259" cm="1">
        <f t="array" aca="1" ref="G41" ca="1">_xlfn.XLOOKUP(G$13,INDIRECT("'"&amp;$B41&amp;" EI'!$B$6:$B$53"),_xlfn.XLOOKUP($C$10,INDIRECT("'"&amp;$B41&amp;" EI'!$D$4:$Z$4"),INDIRECT("'"&amp;$B41&amp;" EI'!$D$6:$Z$53")))*_xlfn.XLOOKUP($B41&amp;G$15,'Gas Useage'!$A$4:$A$15&amp;'Gas Useage'!$B$4:$B$15,_xlfn.XLOOKUP($C41&amp;G$14,'Gas Useage'!$C$2:$AB$2&amp;'Gas Useage'!$C$3:$AB$3,'Gas Useage'!$C$4:$AB$15))/_xlfn.XLOOKUP($B41&amp;G$15,'Gas Useage'!$A$4:$A$15&amp;'Gas Useage'!$B$4:$B$15,_xlfn.XLOOKUP(G$14,'Gas Useage'!$AA$3:$AB$3,'Gas Useage'!$AA$4:$AB$15))</f>
        <v>3.8853566623307119E-3</v>
      </c>
      <c r="H41" s="260" t="s">
        <v>278</v>
      </c>
      <c r="I41" s="260" t="s">
        <v>278</v>
      </c>
      <c r="J41" s="260" t="s">
        <v>278</v>
      </c>
      <c r="K41" s="261" t="s">
        <v>278</v>
      </c>
      <c r="N41" s="258"/>
    </row>
    <row r="42" spans="2:14" ht="13.5" x14ac:dyDescent="0.25">
      <c r="B42" s="32">
        <v>2022</v>
      </c>
      <c r="C42" s="494" t="s">
        <v>280</v>
      </c>
      <c r="D42" s="259" cm="1">
        <f t="array" aca="1" ref="D42" ca="1">_xlfn.XLOOKUP(D$13,INDIRECT("'"&amp;$B42&amp;" EI'!$B$6:$B$53"),_xlfn.XLOOKUP($C$10,INDIRECT("'"&amp;$B42&amp;" EI'!$D$4:$Z$4"),INDIRECT("'"&amp;$B42&amp;" EI'!$D$6:$Z$53")))*_xlfn.XLOOKUP($B42&amp;D$15,'Gas Useage'!$A$4:$A$15&amp;'Gas Useage'!$B$4:$B$15,_xlfn.XLOOKUP($C42&amp;D$14,'Gas Useage'!$C$2:$AB$2&amp;'Gas Useage'!$C$3:$AB$3,'Gas Useage'!$C$4:$AB$15))/_xlfn.XLOOKUP($B42&amp;D$15,'Gas Useage'!$A$4:$A$15&amp;'Gas Useage'!$B$4:$B$15,_xlfn.XLOOKUP(D$14,'Gas Useage'!$AA$3:$AB$3,'Gas Useage'!$AA$4:$AB$15))</f>
        <v>7.4054204831648596E-2</v>
      </c>
      <c r="E42" s="259" cm="1">
        <f t="array" aca="1" ref="E42" ca="1">_xlfn.XLOOKUP(E$13,INDIRECT("'"&amp;$B42&amp;" EI'!$B$6:$B$53"),_xlfn.XLOOKUP($C$10,INDIRECT("'"&amp;$B42&amp;" EI'!$D$4:$Z$4"),INDIRECT("'"&amp;$B42&amp;" EI'!$D$6:$Z$53")))*_xlfn.XLOOKUP($B42&amp;E$15,'Gas Useage'!$A$4:$A$15&amp;'Gas Useage'!$B$4:$B$15,_xlfn.XLOOKUP($C42&amp;E$14,'Gas Useage'!$C$2:$AB$2&amp;'Gas Useage'!$C$3:$AB$3,'Gas Useage'!$C$4:$AB$15))/_xlfn.XLOOKUP($B42&amp;E$15,'Gas Useage'!$A$4:$A$15&amp;'Gas Useage'!$B$4:$B$15,_xlfn.XLOOKUP(E$14,'Gas Useage'!$AA$3:$AB$3,'Gas Useage'!$AA$4:$AB$15))</f>
        <v>6.0097440958946976E-3</v>
      </c>
      <c r="F42" s="259" cm="1">
        <f t="array" aca="1" ref="F42" ca="1">_xlfn.XLOOKUP(F$13,INDIRECT("'"&amp;$B42&amp;" EI'!$B$6:$B$53"),_xlfn.XLOOKUP($C$10,INDIRECT("'"&amp;$B42&amp;" EI'!$D$4:$Z$4"),INDIRECT("'"&amp;$B42&amp;" EI'!$D$6:$Z$53")))*_xlfn.XLOOKUP($B42&amp;F$15,'Gas Useage'!$A$4:$A$15&amp;'Gas Useage'!$B$4:$B$15,_xlfn.XLOOKUP($C42&amp;F$14,'Gas Useage'!$C$2:$AB$2&amp;'Gas Useage'!$C$3:$AB$3,'Gas Useage'!$C$4:$AB$15))/_xlfn.XLOOKUP($B42&amp;F$15,'Gas Useage'!$A$4:$A$15&amp;'Gas Useage'!$B$4:$B$15,_xlfn.XLOOKUP(F$14,'Gas Useage'!$AA$3:$AB$3,'Gas Useage'!$AA$4:$AB$15))</f>
        <v>3.5084527952130656E-2</v>
      </c>
      <c r="G42" s="259" cm="1">
        <f t="array" aca="1" ref="G42" ca="1">_xlfn.XLOOKUP(G$13,INDIRECT("'"&amp;$B42&amp;" EI'!$B$6:$B$53"),_xlfn.XLOOKUP($C$10,INDIRECT("'"&amp;$B42&amp;" EI'!$D$4:$Z$4"),INDIRECT("'"&amp;$B42&amp;" EI'!$D$6:$Z$53")))*_xlfn.XLOOKUP($B42&amp;G$15,'Gas Useage'!$A$4:$A$15&amp;'Gas Useage'!$B$4:$B$15,_xlfn.XLOOKUP($C42&amp;G$14,'Gas Useage'!$C$2:$AB$2&amp;'Gas Useage'!$C$3:$AB$3,'Gas Useage'!$C$4:$AB$15))/_xlfn.XLOOKUP($B42&amp;G$15,'Gas Useage'!$A$4:$A$15&amp;'Gas Useage'!$B$4:$B$15,_xlfn.XLOOKUP(G$14,'Gas Useage'!$AA$3:$AB$3,'Gas Useage'!$AA$4:$AB$15))</f>
        <v>2.8472256936240702E-3</v>
      </c>
      <c r="H42" s="260" t="s">
        <v>278</v>
      </c>
      <c r="I42" s="260" t="s">
        <v>278</v>
      </c>
      <c r="J42" s="260" t="s">
        <v>278</v>
      </c>
      <c r="K42" s="261" t="s">
        <v>278</v>
      </c>
      <c r="N42" s="258"/>
    </row>
    <row r="43" spans="2:14" ht="13.5" x14ac:dyDescent="0.25">
      <c r="B43" s="32">
        <v>2022</v>
      </c>
      <c r="C43" s="494" t="s">
        <v>281</v>
      </c>
      <c r="D43" s="259" cm="1">
        <f t="array" aca="1" ref="D43" ca="1">_xlfn.XLOOKUP(D$13,INDIRECT("'"&amp;$B43&amp;" EI'!$B$6:$B$53"),_xlfn.XLOOKUP($C$10,INDIRECT("'"&amp;$B43&amp;" EI'!$D$4:$Z$4"),INDIRECT("'"&amp;$B43&amp;" EI'!$D$6:$Z$53")))*_xlfn.XLOOKUP($B43&amp;D$15,'Gas Useage'!$A$4:$A$15&amp;'Gas Useage'!$B$4:$B$15,_xlfn.XLOOKUP($C43&amp;D$14,'Gas Useage'!$C$2:$AB$2&amp;'Gas Useage'!$C$3:$AB$3,'Gas Useage'!$C$4:$AB$15))/_xlfn.XLOOKUP($B43&amp;D$15,'Gas Useage'!$A$4:$A$15&amp;'Gas Useage'!$B$4:$B$15,_xlfn.XLOOKUP(D$14,'Gas Useage'!$AA$3:$AB$3,'Gas Useage'!$AA$4:$AB$15))</f>
        <v>7.5918088973274206E-2</v>
      </c>
      <c r="E43" s="259" cm="1">
        <f t="array" aca="1" ref="E43" ca="1">_xlfn.XLOOKUP(E$13,INDIRECT("'"&amp;$B43&amp;" EI'!$B$6:$B$53"),_xlfn.XLOOKUP($C$10,INDIRECT("'"&amp;$B43&amp;" EI'!$D$4:$Z$4"),INDIRECT("'"&amp;$B43&amp;" EI'!$D$6:$Z$53")))*_xlfn.XLOOKUP($B43&amp;E$15,'Gas Useage'!$A$4:$A$15&amp;'Gas Useage'!$B$4:$B$15,_xlfn.XLOOKUP($C43&amp;E$14,'Gas Useage'!$C$2:$AB$2&amp;'Gas Useage'!$C$3:$AB$3,'Gas Useage'!$C$4:$AB$15))/_xlfn.XLOOKUP($B43&amp;E$15,'Gas Useage'!$A$4:$A$15&amp;'Gas Useage'!$B$4:$B$15,_xlfn.XLOOKUP(E$14,'Gas Useage'!$AA$3:$AB$3,'Gas Useage'!$AA$4:$AB$15))</f>
        <v>6.801272012669426E-3</v>
      </c>
      <c r="F43" s="259" cm="1">
        <f t="array" aca="1" ref="F43" ca="1">_xlfn.XLOOKUP(F$13,INDIRECT("'"&amp;$B43&amp;" EI'!$B$6:$B$53"),_xlfn.XLOOKUP($C$10,INDIRECT("'"&amp;$B43&amp;" EI'!$D$4:$Z$4"),INDIRECT("'"&amp;$B43&amp;" EI'!$D$6:$Z$53")))*_xlfn.XLOOKUP($B43&amp;F$15,'Gas Useage'!$A$4:$A$15&amp;'Gas Useage'!$B$4:$B$15,_xlfn.XLOOKUP($C43&amp;F$14,'Gas Useage'!$C$2:$AB$2&amp;'Gas Useage'!$C$3:$AB$3,'Gas Useage'!$C$4:$AB$15))/_xlfn.XLOOKUP($B43&amp;F$15,'Gas Useage'!$A$4:$A$15&amp;'Gas Useage'!$B$4:$B$15,_xlfn.XLOOKUP(F$14,'Gas Useage'!$AA$3:$AB$3,'Gas Useage'!$AA$4:$AB$15))</f>
        <v>6.1229811517762113E-2</v>
      </c>
      <c r="G43" s="259" cm="1">
        <f t="array" aca="1" ref="G43" ca="1">_xlfn.XLOOKUP(G$13,INDIRECT("'"&amp;$B43&amp;" EI'!$B$6:$B$53"),_xlfn.XLOOKUP($C$10,INDIRECT("'"&amp;$B43&amp;" EI'!$D$4:$Z$4"),INDIRECT("'"&amp;$B43&amp;" EI'!$D$6:$Z$53")))*_xlfn.XLOOKUP($B43&amp;G$15,'Gas Useage'!$A$4:$A$15&amp;'Gas Useage'!$B$4:$B$15,_xlfn.XLOOKUP($C43&amp;G$14,'Gas Useage'!$C$2:$AB$2&amp;'Gas Useage'!$C$3:$AB$3,'Gas Useage'!$C$4:$AB$15))/_xlfn.XLOOKUP($B43&amp;G$15,'Gas Useage'!$A$4:$A$15&amp;'Gas Useage'!$B$4:$B$15,_xlfn.XLOOKUP(G$14,'Gas Useage'!$AA$3:$AB$3,'Gas Useage'!$AA$4:$AB$15))</f>
        <v>5.4853936531961576E-3</v>
      </c>
      <c r="H43" s="260" t="s">
        <v>278</v>
      </c>
      <c r="I43" s="260" t="s">
        <v>278</v>
      </c>
      <c r="J43" s="260" t="s">
        <v>278</v>
      </c>
      <c r="K43" s="261" t="s">
        <v>278</v>
      </c>
      <c r="N43" s="258"/>
    </row>
    <row r="44" spans="2:14" ht="13.5" x14ac:dyDescent="0.25">
      <c r="B44" s="32">
        <v>2022</v>
      </c>
      <c r="C44" s="494" t="s">
        <v>282</v>
      </c>
      <c r="D44" s="259" cm="1">
        <f t="array" aca="1" ref="D44" ca="1">_xlfn.XLOOKUP(D$13,INDIRECT("'"&amp;$B44&amp;" EI'!$B$6:$B$53"),_xlfn.XLOOKUP($C$10,INDIRECT("'"&amp;$B44&amp;" EI'!$D$4:$Z$4"),INDIRECT("'"&amp;$B44&amp;" EI'!$D$6:$Z$53")))*_xlfn.XLOOKUP($B44&amp;D$15,'Gas Useage'!$A$4:$A$15&amp;'Gas Useage'!$B$4:$B$15,_xlfn.XLOOKUP($C44&amp;D$14,'Gas Useage'!$C$2:$AB$2&amp;'Gas Useage'!$C$3:$AB$3,'Gas Useage'!$C$4:$AB$15))/_xlfn.XLOOKUP($B44&amp;D$15,'Gas Useage'!$A$4:$A$15&amp;'Gas Useage'!$B$4:$B$15,_xlfn.XLOOKUP(D$14,'Gas Useage'!$AA$3:$AB$3,'Gas Useage'!$AA$4:$AB$15))</f>
        <v>5.2204842485049516E-2</v>
      </c>
      <c r="E44" s="259" cm="1">
        <f t="array" aca="1" ref="E44" ca="1">_xlfn.XLOOKUP(E$13,INDIRECT("'"&amp;$B44&amp;" EI'!$B$6:$B$53"),_xlfn.XLOOKUP($C$10,INDIRECT("'"&amp;$B44&amp;" EI'!$D$4:$Z$4"),INDIRECT("'"&amp;$B44&amp;" EI'!$D$6:$Z$53")))*_xlfn.XLOOKUP($B44&amp;E$15,'Gas Useage'!$A$4:$A$15&amp;'Gas Useage'!$B$4:$B$15,_xlfn.XLOOKUP($C44&amp;E$14,'Gas Useage'!$C$2:$AB$2&amp;'Gas Useage'!$C$3:$AB$3,'Gas Useage'!$C$4:$AB$15))/_xlfn.XLOOKUP($B44&amp;E$15,'Gas Useage'!$A$4:$A$15&amp;'Gas Useage'!$B$4:$B$15,_xlfn.XLOOKUP(E$14,'Gas Useage'!$AA$3:$AB$3,'Gas Useage'!$AA$4:$AB$15))</f>
        <v>4.8736595208388397E-3</v>
      </c>
      <c r="F44" s="259" cm="1">
        <f t="array" aca="1" ref="F44" ca="1">_xlfn.XLOOKUP(F$13,INDIRECT("'"&amp;$B44&amp;" EI'!$B$6:$B$53"),_xlfn.XLOOKUP($C$10,INDIRECT("'"&amp;$B44&amp;" EI'!$D$4:$Z$4"),INDIRECT("'"&amp;$B44&amp;" EI'!$D$6:$Z$53")))*_xlfn.XLOOKUP($B44&amp;F$15,'Gas Useage'!$A$4:$A$15&amp;'Gas Useage'!$B$4:$B$15,_xlfn.XLOOKUP($C44&amp;F$14,'Gas Useage'!$C$2:$AB$2&amp;'Gas Useage'!$C$3:$AB$3,'Gas Useage'!$C$4:$AB$15))/_xlfn.XLOOKUP($B44&amp;F$15,'Gas Useage'!$A$4:$A$15&amp;'Gas Useage'!$B$4:$B$15,_xlfn.XLOOKUP(F$14,'Gas Useage'!$AA$3:$AB$3,'Gas Useage'!$AA$4:$AB$15))</f>
        <v>3.0260972950736303E-2</v>
      </c>
      <c r="G44" s="259" cm="1">
        <f t="array" aca="1" ref="G44" ca="1">_xlfn.XLOOKUP(G$13,INDIRECT("'"&amp;$B44&amp;" EI'!$B$6:$B$53"),_xlfn.XLOOKUP($C$10,INDIRECT("'"&amp;$B44&amp;" EI'!$D$4:$Z$4"),INDIRECT("'"&amp;$B44&amp;" EI'!$D$6:$Z$53")))*_xlfn.XLOOKUP($B44&amp;G$15,'Gas Useage'!$A$4:$A$15&amp;'Gas Useage'!$B$4:$B$15,_xlfn.XLOOKUP($C44&amp;G$14,'Gas Useage'!$C$2:$AB$2&amp;'Gas Useage'!$C$3:$AB$3,'Gas Useage'!$C$4:$AB$15))/_xlfn.XLOOKUP($B44&amp;G$15,'Gas Useage'!$A$4:$A$15&amp;'Gas Useage'!$B$4:$B$15,_xlfn.XLOOKUP(G$14,'Gas Useage'!$AA$3:$AB$3,'Gas Useage'!$AA$4:$AB$15))</f>
        <v>2.8250574450720454E-3</v>
      </c>
      <c r="H44" s="260" t="s">
        <v>278</v>
      </c>
      <c r="I44" s="260" t="s">
        <v>278</v>
      </c>
      <c r="J44" s="260" t="s">
        <v>278</v>
      </c>
      <c r="K44" s="261" t="s">
        <v>278</v>
      </c>
      <c r="N44" s="258"/>
    </row>
    <row r="45" spans="2:14" ht="13.5" x14ac:dyDescent="0.25">
      <c r="B45" s="32">
        <v>2022</v>
      </c>
      <c r="C45" s="494" t="s">
        <v>283</v>
      </c>
      <c r="D45" s="259" cm="1">
        <f t="array" aca="1" ref="D45" ca="1">_xlfn.XLOOKUP(D$13,INDIRECT("'"&amp;$B45&amp;" EI'!$B$6:$B$53"),_xlfn.XLOOKUP($C$10,INDIRECT("'"&amp;$B45&amp;" EI'!$D$4:$Z$4"),INDIRECT("'"&amp;$B45&amp;" EI'!$D$6:$Z$53")))*_xlfn.XLOOKUP($B45&amp;D$15,'Gas Useage'!$A$4:$A$15&amp;'Gas Useage'!$B$4:$B$15,_xlfn.XLOOKUP($C45&amp;D$14,'Gas Useage'!$C$2:$AB$2&amp;'Gas Useage'!$C$3:$AB$3,'Gas Useage'!$C$4:$AB$15))/_xlfn.XLOOKUP($B45&amp;D$15,'Gas Useage'!$A$4:$A$15&amp;'Gas Useage'!$B$4:$B$15,_xlfn.XLOOKUP(D$14,'Gas Useage'!$AA$3:$AB$3,'Gas Useage'!$AA$4:$AB$15))</f>
        <v>1.3322688038611646E-2</v>
      </c>
      <c r="E45" s="259" cm="1">
        <f t="array" aca="1" ref="E45" ca="1">_xlfn.XLOOKUP(E$13,INDIRECT("'"&amp;$B45&amp;" EI'!$B$6:$B$53"),_xlfn.XLOOKUP($C$10,INDIRECT("'"&amp;$B45&amp;" EI'!$D$4:$Z$4"),INDIRECT("'"&amp;$B45&amp;" EI'!$D$6:$Z$53")))*_xlfn.XLOOKUP($B45&amp;E$15,'Gas Useage'!$A$4:$A$15&amp;'Gas Useage'!$B$4:$B$15,_xlfn.XLOOKUP($C45&amp;E$14,'Gas Useage'!$C$2:$AB$2&amp;'Gas Useage'!$C$3:$AB$3,'Gas Useage'!$C$4:$AB$15))/_xlfn.XLOOKUP($B45&amp;E$15,'Gas Useage'!$A$4:$A$15&amp;'Gas Useage'!$B$4:$B$15,_xlfn.XLOOKUP(E$14,'Gas Useage'!$AA$3:$AB$3,'Gas Useage'!$AA$4:$AB$15))</f>
        <v>1.3000431577888563E-3</v>
      </c>
      <c r="F45" s="259" cm="1">
        <f t="array" aca="1" ref="F45" ca="1">_xlfn.XLOOKUP(F$13,INDIRECT("'"&amp;$B45&amp;" EI'!$B$6:$B$53"),_xlfn.XLOOKUP($C$10,INDIRECT("'"&amp;$B45&amp;" EI'!$D$4:$Z$4"),INDIRECT("'"&amp;$B45&amp;" EI'!$D$6:$Z$53")))*_xlfn.XLOOKUP($B45&amp;F$15,'Gas Useage'!$A$4:$A$15&amp;'Gas Useage'!$B$4:$B$15,_xlfn.XLOOKUP($C45&amp;F$14,'Gas Useage'!$C$2:$AB$2&amp;'Gas Useage'!$C$3:$AB$3,'Gas Useage'!$C$4:$AB$15))/_xlfn.XLOOKUP($B45&amp;F$15,'Gas Useage'!$A$4:$A$15&amp;'Gas Useage'!$B$4:$B$15,_xlfn.XLOOKUP(F$14,'Gas Useage'!$AA$3:$AB$3,'Gas Useage'!$AA$4:$AB$15))</f>
        <v>9.2142522761746743E-3</v>
      </c>
      <c r="G45" s="259" cm="1">
        <f t="array" aca="1" ref="G45" ca="1">_xlfn.XLOOKUP(G$13,INDIRECT("'"&amp;$B45&amp;" EI'!$B$6:$B$53"),_xlfn.XLOOKUP($C$10,INDIRECT("'"&amp;$B45&amp;" EI'!$D$4:$Z$4"),INDIRECT("'"&amp;$B45&amp;" EI'!$D$6:$Z$53")))*_xlfn.XLOOKUP($B45&amp;G$15,'Gas Useage'!$A$4:$A$15&amp;'Gas Useage'!$B$4:$B$15,_xlfn.XLOOKUP($C45&amp;G$14,'Gas Useage'!$C$2:$AB$2&amp;'Gas Useage'!$C$3:$AB$3,'Gas Useage'!$C$4:$AB$15))/_xlfn.XLOOKUP($B45&amp;G$15,'Gas Useage'!$A$4:$A$15&amp;'Gas Useage'!$B$4:$B$15,_xlfn.XLOOKUP(G$14,'Gas Useage'!$AA$3:$AB$3,'Gas Useage'!$AA$4:$AB$15))</f>
        <v>8.9913729054257692E-4</v>
      </c>
      <c r="H45" s="260" t="s">
        <v>278</v>
      </c>
      <c r="I45" s="260" t="s">
        <v>278</v>
      </c>
      <c r="J45" s="260" t="s">
        <v>278</v>
      </c>
      <c r="K45" s="261" t="s">
        <v>278</v>
      </c>
      <c r="N45" s="258"/>
    </row>
    <row r="46" spans="2:14" ht="13.5" x14ac:dyDescent="0.25">
      <c r="B46" s="32">
        <v>2022</v>
      </c>
      <c r="C46" s="494" t="s">
        <v>284</v>
      </c>
      <c r="D46" s="259" cm="1">
        <f t="array" aca="1" ref="D46" ca="1">_xlfn.XLOOKUP(D$13,INDIRECT("'"&amp;$B46&amp;" EI'!$B$6:$B$53"),_xlfn.XLOOKUP($C$10,INDIRECT("'"&amp;$B46&amp;" EI'!$D$4:$Z$4"),INDIRECT("'"&amp;$B46&amp;" EI'!$D$6:$Z$53")))*_xlfn.XLOOKUP($B46&amp;D$15,'Gas Useage'!$A$4:$A$15&amp;'Gas Useage'!$B$4:$B$15,_xlfn.XLOOKUP($C46&amp;D$14,'Gas Useage'!$C$2:$AB$2&amp;'Gas Useage'!$C$3:$AB$3,'Gas Useage'!$C$4:$AB$15))/_xlfn.XLOOKUP($B46&amp;D$15,'Gas Useage'!$A$4:$A$15&amp;'Gas Useage'!$B$4:$B$15,_xlfn.XLOOKUP(D$14,'Gas Useage'!$AA$3:$AB$3,'Gas Useage'!$AA$4:$AB$15))</f>
        <v>3.860260892406208E-2</v>
      </c>
      <c r="E46" s="259" cm="1">
        <f t="array" aca="1" ref="E46" ca="1">_xlfn.XLOOKUP(E$13,INDIRECT("'"&amp;$B46&amp;" EI'!$B$6:$B$53"),_xlfn.XLOOKUP($C$10,INDIRECT("'"&amp;$B46&amp;" EI'!$D$4:$Z$4"),INDIRECT("'"&amp;$B46&amp;" EI'!$D$6:$Z$53")))*_xlfn.XLOOKUP($B46&amp;E$15,'Gas Useage'!$A$4:$A$15&amp;'Gas Useage'!$B$4:$B$15,_xlfn.XLOOKUP($C46&amp;E$14,'Gas Useage'!$C$2:$AB$2&amp;'Gas Useage'!$C$3:$AB$3,'Gas Useage'!$C$4:$AB$15))/_xlfn.XLOOKUP($B46&amp;E$15,'Gas Useage'!$A$4:$A$15&amp;'Gas Useage'!$B$4:$B$15,_xlfn.XLOOKUP(E$14,'Gas Useage'!$AA$3:$AB$3,'Gas Useage'!$AA$4:$AB$15))</f>
        <v>4.3418011313780891E-3</v>
      </c>
      <c r="F46" s="259" cm="1">
        <f t="array" aca="1" ref="F46" ca="1">_xlfn.XLOOKUP(F$13,INDIRECT("'"&amp;$B46&amp;" EI'!$B$6:$B$53"),_xlfn.XLOOKUP($C$10,INDIRECT("'"&amp;$B46&amp;" EI'!$D$4:$Z$4"),INDIRECT("'"&amp;$B46&amp;" EI'!$D$6:$Z$53")))*_xlfn.XLOOKUP($B46&amp;F$15,'Gas Useage'!$A$4:$A$15&amp;'Gas Useage'!$B$4:$B$15,_xlfn.XLOOKUP($C46&amp;F$14,'Gas Useage'!$C$2:$AB$2&amp;'Gas Useage'!$C$3:$AB$3,'Gas Useage'!$C$4:$AB$15))/_xlfn.XLOOKUP($B46&amp;F$15,'Gas Useage'!$A$4:$A$15&amp;'Gas Useage'!$B$4:$B$15,_xlfn.XLOOKUP(F$14,'Gas Useage'!$AA$3:$AB$3,'Gas Useage'!$AA$4:$AB$15))</f>
        <v>3.6489542487123189E-2</v>
      </c>
      <c r="G46" s="259" cm="1">
        <f t="array" aca="1" ref="G46" ca="1">_xlfn.XLOOKUP(G$13,INDIRECT("'"&amp;$B46&amp;" EI'!$B$6:$B$53"),_xlfn.XLOOKUP($C$10,INDIRECT("'"&amp;$B46&amp;" EI'!$D$4:$Z$4"),INDIRECT("'"&amp;$B46&amp;" EI'!$D$6:$Z$53")))*_xlfn.XLOOKUP($B46&amp;G$15,'Gas Useage'!$A$4:$A$15&amp;'Gas Useage'!$B$4:$B$15,_xlfn.XLOOKUP($C46&amp;G$14,'Gas Useage'!$C$2:$AB$2&amp;'Gas Useage'!$C$3:$AB$3,'Gas Useage'!$C$4:$AB$15))/_xlfn.XLOOKUP($B46&amp;G$15,'Gas Useage'!$A$4:$A$15&amp;'Gas Useage'!$B$4:$B$15,_xlfn.XLOOKUP(G$14,'Gas Useage'!$AA$3:$AB$3,'Gas Useage'!$AA$4:$AB$15))</f>
        <v>4.104135478659481E-3</v>
      </c>
      <c r="H46" s="260" t="s">
        <v>278</v>
      </c>
      <c r="I46" s="260" t="s">
        <v>278</v>
      </c>
      <c r="J46" s="260" t="s">
        <v>278</v>
      </c>
      <c r="K46" s="261" t="s">
        <v>278</v>
      </c>
      <c r="N46" s="258"/>
    </row>
    <row r="47" spans="2:14" ht="13.5" x14ac:dyDescent="0.25">
      <c r="B47" s="32">
        <v>2022</v>
      </c>
      <c r="C47" s="494" t="s">
        <v>285</v>
      </c>
      <c r="D47" s="259" cm="1">
        <f t="array" aca="1" ref="D47" ca="1">_xlfn.XLOOKUP(D$13,INDIRECT("'"&amp;$B47&amp;" EI'!$B$6:$B$53"),_xlfn.XLOOKUP($C$10,INDIRECT("'"&amp;$B47&amp;" EI'!$D$4:$Z$4"),INDIRECT("'"&amp;$B47&amp;" EI'!$D$6:$Z$53")))*_xlfn.XLOOKUP($B47&amp;D$15,'Gas Useage'!$A$4:$A$15&amp;'Gas Useage'!$B$4:$B$15,_xlfn.XLOOKUP($C47&amp;D$14,'Gas Useage'!$C$2:$AB$2&amp;'Gas Useage'!$C$3:$AB$3,'Gas Useage'!$C$4:$AB$15))/_xlfn.XLOOKUP($B47&amp;D$15,'Gas Useage'!$A$4:$A$15&amp;'Gas Useage'!$B$4:$B$15,_xlfn.XLOOKUP(D$14,'Gas Useage'!$AA$3:$AB$3,'Gas Useage'!$AA$4:$AB$15))</f>
        <v>9.7735428964683235E-2</v>
      </c>
      <c r="E47" s="259" cm="1">
        <f t="array" aca="1" ref="E47" ca="1">_xlfn.XLOOKUP(E$13,INDIRECT("'"&amp;$B47&amp;" EI'!$B$6:$B$53"),_xlfn.XLOOKUP($C$10,INDIRECT("'"&amp;$B47&amp;" EI'!$D$4:$Z$4"),INDIRECT("'"&amp;$B47&amp;" EI'!$D$6:$Z$53")))*_xlfn.XLOOKUP($B47&amp;E$15,'Gas Useage'!$A$4:$A$15&amp;'Gas Useage'!$B$4:$B$15,_xlfn.XLOOKUP($C47&amp;E$14,'Gas Useage'!$C$2:$AB$2&amp;'Gas Useage'!$C$3:$AB$3,'Gas Useage'!$C$4:$AB$15))/_xlfn.XLOOKUP($B47&amp;E$15,'Gas Useage'!$A$4:$A$15&amp;'Gas Useage'!$B$4:$B$15,_xlfn.XLOOKUP(E$14,'Gas Useage'!$AA$3:$AB$3,'Gas Useage'!$AA$4:$AB$15))</f>
        <v>7.7910997293810721E-3</v>
      </c>
      <c r="F47" s="259" cm="1">
        <f t="array" aca="1" ref="F47" ca="1">_xlfn.XLOOKUP(F$13,INDIRECT("'"&amp;$B47&amp;" EI'!$B$6:$B$53"),_xlfn.XLOOKUP($C$10,INDIRECT("'"&amp;$B47&amp;" EI'!$D$4:$Z$4"),INDIRECT("'"&amp;$B47&amp;" EI'!$D$6:$Z$53")))*_xlfn.XLOOKUP($B47&amp;F$15,'Gas Useage'!$A$4:$A$15&amp;'Gas Useage'!$B$4:$B$15,_xlfn.XLOOKUP($C47&amp;F$14,'Gas Useage'!$C$2:$AB$2&amp;'Gas Useage'!$C$3:$AB$3,'Gas Useage'!$C$4:$AB$15))/_xlfn.XLOOKUP($B47&amp;F$15,'Gas Useage'!$A$4:$A$15&amp;'Gas Useage'!$B$4:$B$15,_xlfn.XLOOKUP(F$14,'Gas Useage'!$AA$3:$AB$3,'Gas Useage'!$AA$4:$AB$15))</f>
        <v>7.1005780432332397E-2</v>
      </c>
      <c r="G47" s="259" cm="1">
        <f t="array" aca="1" ref="G47" ca="1">_xlfn.XLOOKUP(G$13,INDIRECT("'"&amp;$B47&amp;" EI'!$B$6:$B$53"),_xlfn.XLOOKUP($C$10,INDIRECT("'"&amp;$B47&amp;" EI'!$D$4:$Z$4"),INDIRECT("'"&amp;$B47&amp;" EI'!$D$6:$Z$53")))*_xlfn.XLOOKUP($B47&amp;G$15,'Gas Useage'!$A$4:$A$15&amp;'Gas Useage'!$B$4:$B$15,_xlfn.XLOOKUP($C47&amp;G$14,'Gas Useage'!$C$2:$AB$2&amp;'Gas Useage'!$C$3:$AB$3,'Gas Useage'!$C$4:$AB$15))/_xlfn.XLOOKUP($B47&amp;G$15,'Gas Useage'!$A$4:$A$15&amp;'Gas Useage'!$B$4:$B$15,_xlfn.XLOOKUP(G$14,'Gas Useage'!$AA$3:$AB$3,'Gas Useage'!$AA$4:$AB$15))</f>
        <v>5.6603129752542504E-3</v>
      </c>
      <c r="H47" s="260" t="s">
        <v>278</v>
      </c>
      <c r="I47" s="260" t="s">
        <v>278</v>
      </c>
      <c r="J47" s="260" t="s">
        <v>278</v>
      </c>
      <c r="K47" s="261" t="s">
        <v>278</v>
      </c>
      <c r="N47" s="258"/>
    </row>
    <row r="48" spans="2:14" ht="14.25" thickBot="1" x14ac:dyDescent="0.3">
      <c r="B48" s="33">
        <v>2022</v>
      </c>
      <c r="C48" s="499" t="s">
        <v>286</v>
      </c>
      <c r="D48" s="262" cm="1">
        <f t="array" aca="1" ref="D48" ca="1">_xlfn.XLOOKUP(D$13,INDIRECT("'"&amp;$B48&amp;" EI'!$B$6:$B$53"),_xlfn.XLOOKUP($C$10,INDIRECT("'"&amp;$B48&amp;" EI'!$D$4:$Z$4"),INDIRECT("'"&amp;$B48&amp;" EI'!$D$6:$Z$53")))*_xlfn.XLOOKUP($B48&amp;D$15,'Gas Useage'!$A$4:$A$15&amp;'Gas Useage'!$B$4:$B$15,_xlfn.XLOOKUP($C48&amp;D$14,'Gas Useage'!$C$2:$AB$2&amp;'Gas Useage'!$C$3:$AB$3,'Gas Useage'!$C$4:$AB$15))/_xlfn.XLOOKUP($B48&amp;D$15,'Gas Useage'!$A$4:$A$15&amp;'Gas Useage'!$B$4:$B$15,_xlfn.XLOOKUP(D$14,'Gas Useage'!$AA$3:$AB$3,'Gas Useage'!$AA$4:$AB$15))</f>
        <v>3.3335659941918908E-2</v>
      </c>
      <c r="E48" s="262" cm="1">
        <f t="array" aca="1" ref="E48" ca="1">_xlfn.XLOOKUP(E$13,INDIRECT("'"&amp;$B48&amp;" EI'!$B$6:$B$53"),_xlfn.XLOOKUP($C$10,INDIRECT("'"&amp;$B48&amp;" EI'!$D$4:$Z$4"),INDIRECT("'"&amp;$B48&amp;" EI'!$D$6:$Z$53")))*_xlfn.XLOOKUP($B48&amp;E$15,'Gas Useage'!$A$4:$A$15&amp;'Gas Useage'!$B$4:$B$15,_xlfn.XLOOKUP($C48&amp;E$14,'Gas Useage'!$C$2:$AB$2&amp;'Gas Useage'!$C$3:$AB$3,'Gas Useage'!$C$4:$AB$15))/_xlfn.XLOOKUP($B48&amp;E$15,'Gas Useage'!$A$4:$A$15&amp;'Gas Useage'!$B$4:$B$15,_xlfn.XLOOKUP(E$14,'Gas Useage'!$AA$3:$AB$3,'Gas Useage'!$AA$4:$AB$15))</f>
        <v>3.3156336147602823E-3</v>
      </c>
      <c r="F48" s="262" cm="1">
        <f t="array" aca="1" ref="F48" ca="1">_xlfn.XLOOKUP(F$13,INDIRECT("'"&amp;$B48&amp;" EI'!$B$6:$B$53"),_xlfn.XLOOKUP($C$10,INDIRECT("'"&amp;$B48&amp;" EI'!$D$4:$Z$4"),INDIRECT("'"&amp;$B48&amp;" EI'!$D$6:$Z$53")))*_xlfn.XLOOKUP($B48&amp;F$15,'Gas Useage'!$A$4:$A$15&amp;'Gas Useage'!$B$4:$B$15,_xlfn.XLOOKUP($C48&amp;F$14,'Gas Useage'!$C$2:$AB$2&amp;'Gas Useage'!$C$3:$AB$3,'Gas Useage'!$C$4:$AB$15))/_xlfn.XLOOKUP($B48&amp;F$15,'Gas Useage'!$A$4:$A$15&amp;'Gas Useage'!$B$4:$B$15,_xlfn.XLOOKUP(F$14,'Gas Useage'!$AA$3:$AB$3,'Gas Useage'!$AA$4:$AB$15))</f>
        <v>1.8892947110442947E-2</v>
      </c>
      <c r="G48" s="262" cm="1">
        <f t="array" aca="1" ref="G48" ca="1">_xlfn.XLOOKUP(G$13,INDIRECT("'"&amp;$B48&amp;" EI'!$B$6:$B$53"),_xlfn.XLOOKUP($C$10,INDIRECT("'"&amp;$B48&amp;" EI'!$D$4:$Z$4"),INDIRECT("'"&amp;$B48&amp;" EI'!$D$6:$Z$53")))*_xlfn.XLOOKUP($B48&amp;G$15,'Gas Useage'!$A$4:$A$15&amp;'Gas Useage'!$B$4:$B$15,_xlfn.XLOOKUP($C48&amp;G$14,'Gas Useage'!$C$2:$AB$2&amp;'Gas Useage'!$C$3:$AB$3,'Gas Useage'!$C$4:$AB$15))/_xlfn.XLOOKUP($B48&amp;G$15,'Gas Useage'!$A$4:$A$15&amp;'Gas Useage'!$B$4:$B$15,_xlfn.XLOOKUP(G$14,'Gas Useage'!$AA$3:$AB$3,'Gas Useage'!$AA$4:$AB$15))</f>
        <v>1.8791315555298671E-3</v>
      </c>
      <c r="H48" s="263">
        <f t="shared" ref="H48:K51" ca="1" si="0">IFERROR(SUM(D25:D48)/2,"--")</f>
        <v>0.7006148427692771</v>
      </c>
      <c r="I48" s="263">
        <f t="shared" ca="1" si="0"/>
        <v>5.1879548172202347E-2</v>
      </c>
      <c r="J48" s="263">
        <f t="shared" ca="1" si="0"/>
        <v>0.70882757268088192</v>
      </c>
      <c r="K48" s="264">
        <f t="shared" ca="1" si="0"/>
        <v>5.088610572509461E-2</v>
      </c>
      <c r="N48" s="258"/>
    </row>
    <row r="49" spans="2:14" ht="13.5" hidden="1" x14ac:dyDescent="0.25">
      <c r="B49" s="495">
        <v>2022</v>
      </c>
      <c r="C49" s="284" t="s">
        <v>287</v>
      </c>
      <c r="D49" s="496" cm="1">
        <f t="array" aca="1" ref="D49" ca="1">_xlfn.XLOOKUP(D$13,INDIRECT("'"&amp;$B49&amp;" EI'!$B$6:$B$53"),_xlfn.XLOOKUP($C$10,INDIRECT("'"&amp;$B49&amp;" EI'!$D$4:$Z$4"),INDIRECT("'"&amp;$B49&amp;" EI'!$D$6:$Z$53")))*_xlfn.XLOOKUP($B49&amp;D$15,'Gas Useage'!$A$4:$A$15&amp;'Gas Useage'!$B$4:$B$15,_xlfn.XLOOKUP($C49&amp;D$14,'Gas Useage'!$C$2:$AB$2&amp;'Gas Useage'!$C$3:$AB$3,'Gas Useage'!$C$4:$AB$15))/_xlfn.XLOOKUP($B49&amp;D$15,'Gas Useage'!$A$4:$A$15&amp;'Gas Useage'!$B$4:$B$15,_xlfn.XLOOKUP(D$14,'Gas Useage'!$AA$3:$AB$3,'Gas Useage'!$AA$4:$AB$15))</f>
        <v>2.3505493708546168E-2</v>
      </c>
      <c r="E49" s="496" cm="1">
        <f t="array" aca="1" ref="E49" ca="1">_xlfn.XLOOKUP(E$13,INDIRECT("'"&amp;$B49&amp;" EI'!$B$6:$B$53"),_xlfn.XLOOKUP($C$10,INDIRECT("'"&amp;$B49&amp;" EI'!$D$4:$Z$4"),INDIRECT("'"&amp;$B49&amp;" EI'!$D$6:$Z$53")))*_xlfn.XLOOKUP($B49&amp;E$15,'Gas Useage'!$A$4:$A$15&amp;'Gas Useage'!$B$4:$B$15,_xlfn.XLOOKUP($C49&amp;E$14,'Gas Useage'!$C$2:$AB$2&amp;'Gas Useage'!$C$3:$AB$3,'Gas Useage'!$C$4:$AB$15))/_xlfn.XLOOKUP($B49&amp;E$15,'Gas Useage'!$A$4:$A$15&amp;'Gas Useage'!$B$4:$B$15,_xlfn.XLOOKUP(E$14,'Gas Useage'!$AA$3:$AB$3,'Gas Useage'!$AA$4:$AB$15))</f>
        <v>3.5211146936996078E-3</v>
      </c>
      <c r="F49" s="496" cm="1">
        <f t="array" aca="1" ref="F49" ca="1">_xlfn.XLOOKUP(F$13,INDIRECT("'"&amp;$B49&amp;" EI'!$B$6:$B$53"),_xlfn.XLOOKUP($C$10,INDIRECT("'"&amp;$B49&amp;" EI'!$D$4:$Z$4"),INDIRECT("'"&amp;$B49&amp;" EI'!$D$6:$Z$53")))*_xlfn.XLOOKUP($B49&amp;F$15,'Gas Useage'!$A$4:$A$15&amp;'Gas Useage'!$B$4:$B$15,_xlfn.XLOOKUP($C49&amp;F$14,'Gas Useage'!$C$2:$AB$2&amp;'Gas Useage'!$C$3:$AB$3,'Gas Useage'!$C$4:$AB$15))/_xlfn.XLOOKUP($B49&amp;F$15,'Gas Useage'!$A$4:$A$15&amp;'Gas Useage'!$B$4:$B$15,_xlfn.XLOOKUP(F$14,'Gas Useage'!$AA$3:$AB$3,'Gas Useage'!$AA$4:$AB$15))</f>
        <v>1.7751149524825476E-2</v>
      </c>
      <c r="G49" s="496" cm="1">
        <f t="array" aca="1" ref="G49" ca="1">_xlfn.XLOOKUP(G$13,INDIRECT("'"&amp;$B49&amp;" EI'!$B$6:$B$53"),_xlfn.XLOOKUP($C$10,INDIRECT("'"&amp;$B49&amp;" EI'!$D$4:$Z$4"),INDIRECT("'"&amp;$B49&amp;" EI'!$D$6:$Z$53")))*_xlfn.XLOOKUP($B49&amp;G$15,'Gas Useage'!$A$4:$A$15&amp;'Gas Useage'!$B$4:$B$15,_xlfn.XLOOKUP($C49&amp;G$14,'Gas Useage'!$C$2:$AB$2&amp;'Gas Useage'!$C$3:$AB$3,'Gas Useage'!$C$4:$AB$15))/_xlfn.XLOOKUP($B49&amp;G$15,'Gas Useage'!$A$4:$A$15&amp;'Gas Useage'!$B$4:$B$15,_xlfn.XLOOKUP(G$14,'Gas Useage'!$AA$3:$AB$3,'Gas Useage'!$AA$4:$AB$15))</f>
        <v>2.6591159580365048E-3</v>
      </c>
      <c r="H49" s="497">
        <f t="shared" ca="1" si="0"/>
        <v>0.6977638070201807</v>
      </c>
      <c r="I49" s="497">
        <f t="shared" ca="1" si="0"/>
        <v>5.2514517203982904E-2</v>
      </c>
      <c r="J49" s="497">
        <f t="shared" ca="1" si="0"/>
        <v>0.68392959567103517</v>
      </c>
      <c r="K49" s="498">
        <f t="shared" ca="1" si="0"/>
        <v>4.9612563105746597E-2</v>
      </c>
      <c r="N49" s="258"/>
    </row>
    <row r="50" spans="2:14" ht="13.5" hidden="1" x14ac:dyDescent="0.25">
      <c r="B50" s="283">
        <v>2022</v>
      </c>
      <c r="C50" s="284" t="s">
        <v>288</v>
      </c>
      <c r="D50" s="290" cm="1">
        <f t="array" aca="1" ref="D50" ca="1">_xlfn.XLOOKUP(D$13,INDIRECT("'"&amp;$B50&amp;" EI'!$B$6:$B$53"),_xlfn.XLOOKUP($C$10,INDIRECT("'"&amp;$B50&amp;" EI'!$D$4:$Z$4"),INDIRECT("'"&amp;$B50&amp;" EI'!$D$6:$Z$53")))*_xlfn.XLOOKUP($B50&amp;D$15,'Gas Useage'!$A$4:$A$15&amp;'Gas Useage'!$B$4:$B$15,_xlfn.XLOOKUP($C50&amp;D$14,'Gas Useage'!$C$2:$AB$2&amp;'Gas Useage'!$C$3:$AB$3,'Gas Useage'!$C$4:$AB$15))/_xlfn.XLOOKUP($B50&amp;D$15,'Gas Useage'!$A$4:$A$15&amp;'Gas Useage'!$B$4:$B$15,_xlfn.XLOOKUP(D$14,'Gas Useage'!$AA$3:$AB$3,'Gas Useage'!$AA$4:$AB$15))</f>
        <v>3.5781894689428584E-5</v>
      </c>
      <c r="E50" s="290" cm="1">
        <f t="array" aca="1" ref="E50" ca="1">_xlfn.XLOOKUP(E$13,INDIRECT("'"&amp;$B50&amp;" EI'!$B$6:$B$53"),_xlfn.XLOOKUP($C$10,INDIRECT("'"&amp;$B50&amp;" EI'!$D$4:$Z$4"),INDIRECT("'"&amp;$B50&amp;" EI'!$D$6:$Z$53")))*_xlfn.XLOOKUP($B50&amp;E$15,'Gas Useage'!$A$4:$A$15&amp;'Gas Useage'!$B$4:$B$15,_xlfn.XLOOKUP($C50&amp;E$14,'Gas Useage'!$C$2:$AB$2&amp;'Gas Useage'!$C$3:$AB$3,'Gas Useage'!$C$4:$AB$15))/_xlfn.XLOOKUP($B50&amp;E$15,'Gas Useage'!$A$4:$A$15&amp;'Gas Useage'!$B$4:$B$15,_xlfn.XLOOKUP(E$14,'Gas Useage'!$AA$3:$AB$3,'Gas Useage'!$AA$4:$AB$15))</f>
        <v>3.7321952223065673E-6</v>
      </c>
      <c r="F50" s="290" cm="1">
        <f t="array" aca="1" ref="F50" ca="1">_xlfn.XLOOKUP(F$13,INDIRECT("'"&amp;$B50&amp;" EI'!$B$6:$B$53"),_xlfn.XLOOKUP($C$10,INDIRECT("'"&amp;$B50&amp;" EI'!$D$4:$Z$4"),INDIRECT("'"&amp;$B50&amp;" EI'!$D$6:$Z$53")))*_xlfn.XLOOKUP($B50&amp;F$15,'Gas Useage'!$A$4:$A$15&amp;'Gas Useage'!$B$4:$B$15,_xlfn.XLOOKUP($C50&amp;F$14,'Gas Useage'!$C$2:$AB$2&amp;'Gas Useage'!$C$3:$AB$3,'Gas Useage'!$C$4:$AB$15))/_xlfn.XLOOKUP($B50&amp;F$15,'Gas Useage'!$A$4:$A$15&amp;'Gas Useage'!$B$4:$B$15,_xlfn.XLOOKUP(F$14,'Gas Useage'!$AA$3:$AB$3,'Gas Useage'!$AA$4:$AB$15))</f>
        <v>3.0112532513077419E-5</v>
      </c>
      <c r="G50" s="290" cm="1">
        <f t="array" aca="1" ref="G50" ca="1">_xlfn.XLOOKUP(G$13,INDIRECT("'"&amp;$B50&amp;" EI'!$B$6:$B$53"),_xlfn.XLOOKUP($C$10,INDIRECT("'"&amp;$B50&amp;" EI'!$D$4:$Z$4"),INDIRECT("'"&amp;$B50&amp;" EI'!$D$6:$Z$53")))*_xlfn.XLOOKUP($B50&amp;G$15,'Gas Useage'!$A$4:$A$15&amp;'Gas Useage'!$B$4:$B$15,_xlfn.XLOOKUP($C50&amp;G$14,'Gas Useage'!$C$2:$AB$2&amp;'Gas Useage'!$C$3:$AB$3,'Gas Useage'!$C$4:$AB$15))/_xlfn.XLOOKUP($B50&amp;G$15,'Gas Useage'!$A$4:$A$15&amp;'Gas Useage'!$B$4:$B$15,_xlfn.XLOOKUP(G$14,'Gas Useage'!$AA$3:$AB$3,'Gas Useage'!$AA$4:$AB$15))</f>
        <v>3.1408579940307636E-6</v>
      </c>
      <c r="H50" s="291">
        <f t="shared" ca="1" si="0"/>
        <v>0.6662929913790423</v>
      </c>
      <c r="I50" s="291">
        <f t="shared" ca="1" si="0"/>
        <v>4.9237574671092535E-2</v>
      </c>
      <c r="J50" s="291">
        <f t="shared" ca="1" si="0"/>
        <v>0.63627992381590104</v>
      </c>
      <c r="K50" s="292">
        <f t="shared" ca="1" si="0"/>
        <v>4.4650972488551752E-2</v>
      </c>
      <c r="N50" s="258"/>
    </row>
    <row r="51" spans="2:14" ht="14.25" hidden="1" thickBot="1" x14ac:dyDescent="0.3">
      <c r="B51" s="285">
        <v>2022</v>
      </c>
      <c r="C51" s="286" t="s">
        <v>289</v>
      </c>
      <c r="D51" s="287" cm="1">
        <f t="array" aca="1" ref="D51" ca="1">_xlfn.XLOOKUP(D$13,INDIRECT("'"&amp;$B51&amp;" EI'!$B$6:$B$53"),_xlfn.XLOOKUP($C$10,INDIRECT("'"&amp;$B51&amp;" EI'!$D$4:$Z$4"),INDIRECT("'"&amp;$B51&amp;" EI'!$D$6:$Z$53")))*_xlfn.XLOOKUP($B51&amp;D$15,'Gas Useage'!$A$4:$A$15&amp;'Gas Useage'!$B$4:$B$15,_xlfn.XLOOKUP($C51&amp;D$14,'Gas Useage'!$C$2:$AB$2&amp;'Gas Useage'!$C$3:$AB$3,'Gas Useage'!$C$4:$AB$15))/_xlfn.XLOOKUP($B51&amp;D$15,'Gas Useage'!$A$4:$A$15&amp;'Gas Useage'!$B$4:$B$15,_xlfn.XLOOKUP(D$14,'Gas Useage'!$AA$3:$AB$3,'Gas Useage'!$AA$4:$AB$15))</f>
        <v>1.198360832016492E-5</v>
      </c>
      <c r="E51" s="287" cm="1">
        <f t="array" aca="1" ref="E51" ca="1">_xlfn.XLOOKUP(E$13,INDIRECT("'"&amp;$B51&amp;" EI'!$B$6:$B$53"),_xlfn.XLOOKUP($C$10,INDIRECT("'"&amp;$B51&amp;" EI'!$D$4:$Z$4"),INDIRECT("'"&amp;$B51&amp;" EI'!$D$6:$Z$53")))*_xlfn.XLOOKUP($B51&amp;E$15,'Gas Useage'!$A$4:$A$15&amp;'Gas Useage'!$B$4:$B$15,_xlfn.XLOOKUP($C51&amp;E$14,'Gas Useage'!$C$2:$AB$2&amp;'Gas Useage'!$C$3:$AB$3,'Gas Useage'!$C$4:$AB$15))/_xlfn.XLOOKUP($B51&amp;E$15,'Gas Useage'!$A$4:$A$15&amp;'Gas Useage'!$B$4:$B$15,_xlfn.XLOOKUP(E$14,'Gas Useage'!$AA$3:$AB$3,'Gas Useage'!$AA$4:$AB$15))</f>
        <v>1.3629409014718826E-6</v>
      </c>
      <c r="F51" s="287" cm="1">
        <f t="array" aca="1" ref="F51" ca="1">_xlfn.XLOOKUP(F$13,INDIRECT("'"&amp;$B51&amp;" EI'!$B$6:$B$53"),_xlfn.XLOOKUP($C$10,INDIRECT("'"&amp;$B51&amp;" EI'!$D$4:$Z$4"),INDIRECT("'"&amp;$B51&amp;" EI'!$D$6:$Z$53")))*_xlfn.XLOOKUP($B51&amp;F$15,'Gas Useage'!$A$4:$A$15&amp;'Gas Useage'!$B$4:$B$15,_xlfn.XLOOKUP($C51&amp;F$14,'Gas Useage'!$C$2:$AB$2&amp;'Gas Useage'!$C$3:$AB$3,'Gas Useage'!$C$4:$AB$15))/_xlfn.XLOOKUP($B51&amp;F$15,'Gas Useage'!$A$4:$A$15&amp;'Gas Useage'!$B$4:$B$15,_xlfn.XLOOKUP(F$14,'Gas Useage'!$AA$3:$AB$3,'Gas Useage'!$AA$4:$AB$15))</f>
        <v>8.6732664996415344E-6</v>
      </c>
      <c r="G51" s="287" cm="1">
        <f t="array" aca="1" ref="G51" ca="1">_xlfn.XLOOKUP(G$13,INDIRECT("'"&amp;$B51&amp;" EI'!$B$6:$B$53"),_xlfn.XLOOKUP($C$10,INDIRECT("'"&amp;$B51&amp;" EI'!$D$4:$Z$4"),INDIRECT("'"&amp;$B51&amp;" EI'!$D$6:$Z$53")))*_xlfn.XLOOKUP($B51&amp;G$15,'Gas Useage'!$A$4:$A$15&amp;'Gas Useage'!$B$4:$B$15,_xlfn.XLOOKUP($C51&amp;G$14,'Gas Useage'!$C$2:$AB$2&amp;'Gas Useage'!$C$3:$AB$3,'Gas Useage'!$C$4:$AB$15))/_xlfn.XLOOKUP($B51&amp;G$15,'Gas Useage'!$A$4:$A$15&amp;'Gas Useage'!$B$4:$B$15,_xlfn.XLOOKUP(G$14,'Gas Useage'!$AA$3:$AB$3,'Gas Useage'!$AA$4:$AB$15))</f>
        <v>9.8644326031882702E-7</v>
      </c>
      <c r="H51" s="288">
        <f t="shared" ca="1" si="0"/>
        <v>0.63481027659471922</v>
      </c>
      <c r="I51" s="288">
        <f t="shared" ca="1" si="0"/>
        <v>4.5959447511041751E-2</v>
      </c>
      <c r="J51" s="288">
        <f t="shared" ca="1" si="0"/>
        <v>0.5886195323277601</v>
      </c>
      <c r="K51" s="289">
        <f t="shared" ca="1" si="0"/>
        <v>3.9688304663990051E-2</v>
      </c>
      <c r="N51" s="258"/>
    </row>
    <row r="53" spans="2:14" x14ac:dyDescent="0.2">
      <c r="B53" s="265"/>
      <c r="C53" s="265"/>
    </row>
    <row r="54" spans="2:14" x14ac:dyDescent="0.2">
      <c r="B54" s="266"/>
      <c r="C54" s="266"/>
      <c r="D54" s="267"/>
      <c r="E54" s="267"/>
      <c r="F54" s="267"/>
      <c r="G54" s="267"/>
    </row>
    <row r="55" spans="2:14" x14ac:dyDescent="0.2">
      <c r="B55" s="266"/>
      <c r="C55" s="266"/>
      <c r="D55" s="267"/>
      <c r="E55" s="267"/>
      <c r="F55" s="267"/>
      <c r="G55" s="267"/>
    </row>
    <row r="56" spans="2:14" x14ac:dyDescent="0.2">
      <c r="B56" s="266"/>
      <c r="C56" s="266"/>
      <c r="D56" s="267"/>
      <c r="E56" s="267"/>
      <c r="F56" s="267"/>
      <c r="G56" s="267"/>
    </row>
    <row r="57" spans="2:14" x14ac:dyDescent="0.2">
      <c r="B57" s="266"/>
      <c r="C57" s="266"/>
      <c r="D57" s="267"/>
      <c r="E57" s="267"/>
      <c r="F57" s="267"/>
      <c r="G57" s="267"/>
    </row>
    <row r="58" spans="2:14" x14ac:dyDescent="0.2">
      <c r="B58" s="266"/>
      <c r="C58" s="266"/>
      <c r="D58" s="267"/>
      <c r="E58" s="267"/>
      <c r="F58" s="267"/>
      <c r="G58" s="267"/>
      <c r="H58" s="267"/>
      <c r="I58" s="267"/>
      <c r="J58" s="267"/>
      <c r="K58" s="267"/>
    </row>
    <row r="61" spans="2:14" x14ac:dyDescent="0.2">
      <c r="B61" s="265"/>
      <c r="C61" s="265"/>
      <c r="D61" s="268"/>
    </row>
    <row r="62" spans="2:14" x14ac:dyDescent="0.2">
      <c r="B62" s="266"/>
      <c r="C62" s="266"/>
    </row>
    <row r="63" spans="2:14" x14ac:dyDescent="0.2">
      <c r="B63" s="266"/>
      <c r="C63" s="266"/>
    </row>
    <row r="64" spans="2:14" x14ac:dyDescent="0.2">
      <c r="B64" s="266"/>
      <c r="C64" s="266"/>
    </row>
    <row r="65" spans="2:3" x14ac:dyDescent="0.2">
      <c r="B65" s="266"/>
      <c r="C65" s="266"/>
    </row>
    <row r="66" spans="2:3" x14ac:dyDescent="0.2">
      <c r="B66" s="266"/>
      <c r="C66" s="266"/>
    </row>
    <row r="68" spans="2:3" x14ac:dyDescent="0.2">
      <c r="B68" s="266"/>
      <c r="C68" s="266"/>
    </row>
    <row r="70" spans="2:3" x14ac:dyDescent="0.2">
      <c r="B70" s="265"/>
      <c r="C70" s="265"/>
    </row>
  </sheetData>
  <mergeCells count="2">
    <mergeCell ref="D12:G12"/>
    <mergeCell ref="H12:K12"/>
  </mergeCells>
  <pageMargins left="0.7" right="0.7" top="0.75" bottom="0.75" header="0.3" footer="0.3"/>
  <pageSetup scale="6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BB3D7-1AC3-4D17-9313-AFCAF853809C}">
  <sheetPr>
    <tabColor theme="1"/>
  </sheetPr>
  <dimension ref="B1:N70"/>
  <sheetViews>
    <sheetView view="pageBreakPreview" zoomScale="60" zoomScaleNormal="100" workbookViewId="0">
      <selection activeCell="J40" sqref="J40:J41"/>
    </sheetView>
  </sheetViews>
  <sheetFormatPr defaultColWidth="9.140625" defaultRowHeight="12.75" x14ac:dyDescent="0.2"/>
  <cols>
    <col min="1" max="1" width="4.28515625" style="252" customWidth="1"/>
    <col min="2" max="2" width="12" style="252" customWidth="1"/>
    <col min="3" max="3" width="16.5703125" style="252" customWidth="1"/>
    <col min="4" max="7" width="8.85546875" style="252" bestFit="1" customWidth="1"/>
    <col min="8" max="13" width="9.140625" style="252"/>
    <col min="14" max="14" width="11.140625" style="252" bestFit="1" customWidth="1"/>
    <col min="15" max="16384" width="9.140625" style="252"/>
  </cols>
  <sheetData>
    <row r="1" spans="2:14" s="18" customFormat="1" x14ac:dyDescent="0.2">
      <c r="B1" s="28"/>
      <c r="C1" s="28"/>
      <c r="F1" s="19"/>
      <c r="G1" s="19"/>
    </row>
    <row r="2" spans="2:14" s="18" customFormat="1" x14ac:dyDescent="0.2">
      <c r="B2" s="28"/>
      <c r="C2" s="28"/>
      <c r="F2" s="19"/>
      <c r="G2" s="19"/>
    </row>
    <row r="3" spans="2:14" x14ac:dyDescent="0.2">
      <c r="B3" s="20"/>
      <c r="C3" s="20"/>
    </row>
    <row r="4" spans="2:14" x14ac:dyDescent="0.2">
      <c r="B4" s="24" t="s">
        <v>0</v>
      </c>
      <c r="C4" s="25" t="s">
        <v>261</v>
      </c>
    </row>
    <row r="5" spans="2:14" x14ac:dyDescent="0.2">
      <c r="B5" s="24" t="s">
        <v>79</v>
      </c>
      <c r="C5" s="25" t="s">
        <v>4</v>
      </c>
    </row>
    <row r="6" spans="2:14" x14ac:dyDescent="0.2">
      <c r="B6" s="24" t="s">
        <v>80</v>
      </c>
      <c r="C6" s="25" t="s">
        <v>262</v>
      </c>
    </row>
    <row r="7" spans="2:14" x14ac:dyDescent="0.2">
      <c r="B7" s="20"/>
      <c r="C7" s="20"/>
    </row>
    <row r="8" spans="2:14" x14ac:dyDescent="0.2">
      <c r="B8" s="26"/>
      <c r="C8" s="26"/>
    </row>
    <row r="9" spans="2:14" x14ac:dyDescent="0.2">
      <c r="B9" s="26"/>
      <c r="C9" s="26"/>
    </row>
    <row r="10" spans="2:14" x14ac:dyDescent="0.2">
      <c r="B10" s="27" t="s">
        <v>263</v>
      </c>
      <c r="C10" s="35" t="s">
        <v>69</v>
      </c>
    </row>
    <row r="11" spans="2:14" s="253" customFormat="1" ht="15" customHeight="1" thickBot="1" x14ac:dyDescent="0.25"/>
    <row r="12" spans="2:14" ht="16.5" customHeight="1" thickBot="1" x14ac:dyDescent="0.25">
      <c r="B12" s="30"/>
      <c r="C12" s="30"/>
      <c r="D12" s="552" t="s">
        <v>265</v>
      </c>
      <c r="E12" s="553"/>
      <c r="F12" s="553"/>
      <c r="G12" s="554"/>
      <c r="H12" s="552" t="s">
        <v>266</v>
      </c>
      <c r="I12" s="553"/>
      <c r="J12" s="553"/>
      <c r="K12" s="554"/>
      <c r="L12" s="254"/>
    </row>
    <row r="13" spans="2:14" ht="27.75" thickBot="1" x14ac:dyDescent="0.25">
      <c r="B13" s="29" t="s">
        <v>267</v>
      </c>
      <c r="C13" s="29" t="s">
        <v>268</v>
      </c>
      <c r="D13" s="531" t="s">
        <v>269</v>
      </c>
      <c r="E13" s="532" t="s">
        <v>270</v>
      </c>
      <c r="F13" s="532" t="s">
        <v>271</v>
      </c>
      <c r="G13" s="533" t="s">
        <v>272</v>
      </c>
      <c r="H13" s="531" t="s">
        <v>269</v>
      </c>
      <c r="I13" s="532" t="s">
        <v>270</v>
      </c>
      <c r="J13" s="532" t="s">
        <v>271</v>
      </c>
      <c r="K13" s="533" t="s">
        <v>272</v>
      </c>
    </row>
    <row r="14" spans="2:14" ht="27.75" thickBot="1" x14ac:dyDescent="0.25">
      <c r="B14" s="199"/>
      <c r="C14" s="199"/>
      <c r="D14" s="531" t="s">
        <v>273</v>
      </c>
      <c r="E14" s="532" t="s">
        <v>274</v>
      </c>
      <c r="F14" s="532" t="s">
        <v>273</v>
      </c>
      <c r="G14" s="533" t="s">
        <v>274</v>
      </c>
      <c r="H14" s="531"/>
      <c r="I14" s="532"/>
      <c r="J14" s="532"/>
      <c r="K14" s="533"/>
    </row>
    <row r="15" spans="2:14" ht="14.25" thickBot="1" x14ac:dyDescent="0.25">
      <c r="B15" s="199"/>
      <c r="C15" s="199"/>
      <c r="D15" s="534" t="s">
        <v>275</v>
      </c>
      <c r="E15" s="535" t="s">
        <v>275</v>
      </c>
      <c r="F15" s="535" t="s">
        <v>276</v>
      </c>
      <c r="G15" s="536" t="s">
        <v>276</v>
      </c>
      <c r="H15" s="534"/>
      <c r="I15" s="535"/>
      <c r="J15" s="535"/>
      <c r="K15" s="536"/>
    </row>
    <row r="16" spans="2:14" ht="13.5" hidden="1" x14ac:dyDescent="0.25">
      <c r="B16" s="31">
        <v>2020</v>
      </c>
      <c r="C16" s="197" t="s">
        <v>277</v>
      </c>
      <c r="D16" s="255" cm="1">
        <f t="array" aca="1" ref="D16" ca="1">_xlfn.XLOOKUP(D$13,INDIRECT("'"&amp;$B16&amp;" EI'!$B$6:$B$53"),_xlfn.XLOOKUP($C$10,INDIRECT("'"&amp;$B16&amp;" EI'!$D$4:$Z$4"),INDIRECT("'"&amp;$B16&amp;" EI'!$D$6:$Z$53")))*_xlfn.XLOOKUP($B16&amp;D$15,'Gas Useage'!$A$4:$A$15&amp;'Gas Useage'!$B$4:$B$15,_xlfn.XLOOKUP($C16&amp;D$14,'Gas Useage'!$C$2:$AB$2&amp;'Gas Useage'!$C$3:$AB$3,'Gas Useage'!$C$4:$AB$15))/_xlfn.XLOOKUP($B16&amp;D$15,'Gas Useage'!$A$4:$A$15&amp;'Gas Useage'!$B$4:$B$15,_xlfn.XLOOKUP(D$14,'Gas Useage'!$AA$3:$AB$3,'Gas Useage'!$AA$4:$AB$15))</f>
        <v>4.6856124942458076E-2</v>
      </c>
      <c r="E16" s="255" cm="1">
        <f t="array" aca="1" ref="E16" ca="1">_xlfn.XLOOKUP(E$13,INDIRECT("'"&amp;$B16&amp;" EI'!$B$6:$B$53"),_xlfn.XLOOKUP($C$10,INDIRECT("'"&amp;$B16&amp;" EI'!$D$4:$Z$4"),INDIRECT("'"&amp;$B16&amp;" EI'!$D$6:$Z$53")))*_xlfn.XLOOKUP($B16&amp;E$15,'Gas Useage'!$A$4:$A$15&amp;'Gas Useage'!$B$4:$B$15,_xlfn.XLOOKUP($C16&amp;E$14,'Gas Useage'!$C$2:$AB$2&amp;'Gas Useage'!$C$3:$AB$3,'Gas Useage'!$C$4:$AB$15))/_xlfn.XLOOKUP($B16&amp;E$15,'Gas Useage'!$A$4:$A$15&amp;'Gas Useage'!$B$4:$B$15,_xlfn.XLOOKUP(E$14,'Gas Useage'!$AA$3:$AB$3,'Gas Useage'!$AA$4:$AB$15))</f>
        <v>3.9382261052367659E-3</v>
      </c>
      <c r="F16" s="255" cm="1">
        <f t="array" aca="1" ref="F16" ca="1">_xlfn.XLOOKUP(F$13,INDIRECT("'"&amp;$B16&amp;" EI'!$B$6:$B$53"),_xlfn.XLOOKUP($C$10,INDIRECT("'"&amp;$B16&amp;" EI'!$D$4:$Z$4"),INDIRECT("'"&amp;$B16&amp;" EI'!$D$6:$Z$53")))*_xlfn.XLOOKUP($B16&amp;F$15,'Gas Useage'!$A$4:$A$15&amp;'Gas Useage'!$B$4:$B$15,_xlfn.XLOOKUP($C16&amp;F$14,'Gas Useage'!$C$2:$AB$2&amp;'Gas Useage'!$C$3:$AB$3,'Gas Useage'!$C$4:$AB$15))/_xlfn.XLOOKUP($B16&amp;F$15,'Gas Useage'!$A$4:$A$15&amp;'Gas Useage'!$B$4:$B$15,_xlfn.XLOOKUP(F$14,'Gas Useage'!$AA$3:$AB$3,'Gas Useage'!$AA$4:$AB$15))</f>
        <v>6.1341535955157775E-2</v>
      </c>
      <c r="G16" s="255" cm="1">
        <f t="array" aca="1" ref="G16" ca="1">_xlfn.XLOOKUP(G$13,INDIRECT("'"&amp;$B16&amp;" EI'!$B$6:$B$53"),_xlfn.XLOOKUP($C$10,INDIRECT("'"&amp;$B16&amp;" EI'!$D$4:$Z$4"),INDIRECT("'"&amp;$B16&amp;" EI'!$D$6:$Z$53")))*_xlfn.XLOOKUP($B16&amp;G$15,'Gas Useage'!$A$4:$A$15&amp;'Gas Useage'!$B$4:$B$15,_xlfn.XLOOKUP($C16&amp;G$14,'Gas Useage'!$C$2:$AB$2&amp;'Gas Useage'!$C$3:$AB$3,'Gas Useage'!$C$4:$AB$15))/_xlfn.XLOOKUP($B16&amp;G$15,'Gas Useage'!$A$4:$A$15&amp;'Gas Useage'!$B$4:$B$15,_xlfn.XLOOKUP(G$14,'Gas Useage'!$AA$3:$AB$3,'Gas Useage'!$AA$4:$AB$15))</f>
        <v>5.1557152566626442E-3</v>
      </c>
      <c r="H16" s="256" t="s">
        <v>278</v>
      </c>
      <c r="I16" s="256" t="s">
        <v>278</v>
      </c>
      <c r="J16" s="256" t="s">
        <v>278</v>
      </c>
      <c r="K16" s="257" t="s">
        <v>278</v>
      </c>
      <c r="N16" s="258"/>
    </row>
    <row r="17" spans="2:14" ht="13.5" hidden="1" x14ac:dyDescent="0.25">
      <c r="B17" s="32">
        <v>2020</v>
      </c>
      <c r="C17" s="198" t="s">
        <v>279</v>
      </c>
      <c r="D17" s="259" cm="1">
        <f t="array" aca="1" ref="D17" ca="1">_xlfn.XLOOKUP(D$13,INDIRECT("'"&amp;$B17&amp;" EI'!$B$6:$B$53"),_xlfn.XLOOKUP($C$10,INDIRECT("'"&amp;$B17&amp;" EI'!$D$4:$Z$4"),INDIRECT("'"&amp;$B17&amp;" EI'!$D$6:$Z$53")))*_xlfn.XLOOKUP($B17&amp;D$15,'Gas Useage'!$A$4:$A$15&amp;'Gas Useage'!$B$4:$B$15,_xlfn.XLOOKUP($C17&amp;D$14,'Gas Useage'!$C$2:$AB$2&amp;'Gas Useage'!$C$3:$AB$3,'Gas Useage'!$C$4:$AB$15))/_xlfn.XLOOKUP($B17&amp;D$15,'Gas Useage'!$A$4:$A$15&amp;'Gas Useage'!$B$4:$B$15,_xlfn.XLOOKUP(D$14,'Gas Useage'!$AA$3:$AB$3,'Gas Useage'!$AA$4:$AB$15))</f>
        <v>7.7677570914463936E-2</v>
      </c>
      <c r="E17" s="259" cm="1">
        <f t="array" aca="1" ref="E17" ca="1">_xlfn.XLOOKUP(E$13,INDIRECT("'"&amp;$B17&amp;" EI'!$B$6:$B$53"),_xlfn.XLOOKUP($C$10,INDIRECT("'"&amp;$B17&amp;" EI'!$D$4:$Z$4"),INDIRECT("'"&amp;$B17&amp;" EI'!$D$6:$Z$53")))*_xlfn.XLOOKUP($B17&amp;E$15,'Gas Useage'!$A$4:$A$15&amp;'Gas Useage'!$B$4:$B$15,_xlfn.XLOOKUP($C17&amp;E$14,'Gas Useage'!$C$2:$AB$2&amp;'Gas Useage'!$C$3:$AB$3,'Gas Useage'!$C$4:$AB$15))/_xlfn.XLOOKUP($B17&amp;E$15,'Gas Useage'!$A$4:$A$15&amp;'Gas Useage'!$B$4:$B$15,_xlfn.XLOOKUP(E$14,'Gas Useage'!$AA$3:$AB$3,'Gas Useage'!$AA$4:$AB$15))</f>
        <v>8.1726333716760097E-3</v>
      </c>
      <c r="F17" s="259" cm="1">
        <f t="array" aca="1" ref="F17" ca="1">_xlfn.XLOOKUP(F$13,INDIRECT("'"&amp;$B17&amp;" EI'!$B$6:$B$53"),_xlfn.XLOOKUP($C$10,INDIRECT("'"&amp;$B17&amp;" EI'!$D$4:$Z$4"),INDIRECT("'"&amp;$B17&amp;" EI'!$D$6:$Z$53")))*_xlfn.XLOOKUP($B17&amp;F$15,'Gas Useage'!$A$4:$A$15&amp;'Gas Useage'!$B$4:$B$15,_xlfn.XLOOKUP($C17&amp;F$14,'Gas Useage'!$C$2:$AB$2&amp;'Gas Useage'!$C$3:$AB$3,'Gas Useage'!$C$4:$AB$15))/_xlfn.XLOOKUP($B17&amp;F$15,'Gas Useage'!$A$4:$A$15&amp;'Gas Useage'!$B$4:$B$15,_xlfn.XLOOKUP(F$14,'Gas Useage'!$AA$3:$AB$3,'Gas Useage'!$AA$4:$AB$15))</f>
        <v>6.3353719898298008E-2</v>
      </c>
      <c r="G17" s="259" cm="1">
        <f t="array" aca="1" ref="G17" ca="1">_xlfn.XLOOKUP(G$13,INDIRECT("'"&amp;$B17&amp;" EI'!$B$6:$B$53"),_xlfn.XLOOKUP($C$10,INDIRECT("'"&amp;$B17&amp;" EI'!$D$4:$Z$4"),INDIRECT("'"&amp;$B17&amp;" EI'!$D$6:$Z$53")))*_xlfn.XLOOKUP($B17&amp;G$15,'Gas Useage'!$A$4:$A$15&amp;'Gas Useage'!$B$4:$B$15,_xlfn.XLOOKUP($C17&amp;G$14,'Gas Useage'!$C$2:$AB$2&amp;'Gas Useage'!$C$3:$AB$3,'Gas Useage'!$C$4:$AB$15))/_xlfn.XLOOKUP($B17&amp;G$15,'Gas Useage'!$A$4:$A$15&amp;'Gas Useage'!$B$4:$B$15,_xlfn.XLOOKUP(G$14,'Gas Useage'!$AA$3:$AB$3,'Gas Useage'!$AA$4:$AB$15))</f>
        <v>6.6655885265875948E-3</v>
      </c>
      <c r="H17" s="260" t="s">
        <v>278</v>
      </c>
      <c r="I17" s="260" t="s">
        <v>278</v>
      </c>
      <c r="J17" s="260" t="s">
        <v>278</v>
      </c>
      <c r="K17" s="261" t="s">
        <v>278</v>
      </c>
      <c r="N17" s="258"/>
    </row>
    <row r="18" spans="2:14" ht="13.5" hidden="1" x14ac:dyDescent="0.25">
      <c r="B18" s="32">
        <v>2020</v>
      </c>
      <c r="C18" s="198" t="s">
        <v>280</v>
      </c>
      <c r="D18" s="259" cm="1">
        <f t="array" aca="1" ref="D18" ca="1">_xlfn.XLOOKUP(D$13,INDIRECT("'"&amp;$B18&amp;" EI'!$B$6:$B$53"),_xlfn.XLOOKUP($C$10,INDIRECT("'"&amp;$B18&amp;" EI'!$D$4:$Z$4"),INDIRECT("'"&amp;$B18&amp;" EI'!$D$6:$Z$53")))*_xlfn.XLOOKUP($B18&amp;D$15,'Gas Useage'!$A$4:$A$15&amp;'Gas Useage'!$B$4:$B$15,_xlfn.XLOOKUP($C18&amp;D$14,'Gas Useage'!$C$2:$AB$2&amp;'Gas Useage'!$C$3:$AB$3,'Gas Useage'!$C$4:$AB$15))/_xlfn.XLOOKUP($B18&amp;D$15,'Gas Useage'!$A$4:$A$15&amp;'Gas Useage'!$B$4:$B$15,_xlfn.XLOOKUP(D$14,'Gas Useage'!$AA$3:$AB$3,'Gas Useage'!$AA$4:$AB$15))</f>
        <v>7.9284924775597107E-2</v>
      </c>
      <c r="E18" s="259" cm="1">
        <f t="array" aca="1" ref="E18" ca="1">_xlfn.XLOOKUP(E$13,INDIRECT("'"&amp;$B18&amp;" EI'!$B$6:$B$53"),_xlfn.XLOOKUP($C$10,INDIRECT("'"&amp;$B18&amp;" EI'!$D$4:$Z$4"),INDIRECT("'"&amp;$B18&amp;" EI'!$D$6:$Z$53")))*_xlfn.XLOOKUP($B18&amp;E$15,'Gas Useage'!$A$4:$A$15&amp;'Gas Useage'!$B$4:$B$15,_xlfn.XLOOKUP($C18&amp;E$14,'Gas Useage'!$C$2:$AB$2&amp;'Gas Useage'!$C$3:$AB$3,'Gas Useage'!$C$4:$AB$15))/_xlfn.XLOOKUP($B18&amp;E$15,'Gas Useage'!$A$4:$A$15&amp;'Gas Useage'!$B$4:$B$15,_xlfn.XLOOKUP(E$14,'Gas Useage'!$AA$3:$AB$3,'Gas Useage'!$AA$4:$AB$15))</f>
        <v>8.7124330114127027E-3</v>
      </c>
      <c r="F18" s="259" cm="1">
        <f t="array" aca="1" ref="F18" ca="1">_xlfn.XLOOKUP(F$13,INDIRECT("'"&amp;$B18&amp;" EI'!$B$6:$B$53"),_xlfn.XLOOKUP($C$10,INDIRECT("'"&amp;$B18&amp;" EI'!$D$4:$Z$4"),INDIRECT("'"&amp;$B18&amp;" EI'!$D$6:$Z$53")))*_xlfn.XLOOKUP($B18&amp;F$15,'Gas Useage'!$A$4:$A$15&amp;'Gas Useage'!$B$4:$B$15,_xlfn.XLOOKUP($C18&amp;F$14,'Gas Useage'!$C$2:$AB$2&amp;'Gas Useage'!$C$3:$AB$3,'Gas Useage'!$C$4:$AB$15))/_xlfn.XLOOKUP($B18&amp;F$15,'Gas Useage'!$A$4:$A$15&amp;'Gas Useage'!$B$4:$B$15,_xlfn.XLOOKUP(F$14,'Gas Useage'!$AA$3:$AB$3,'Gas Useage'!$AA$4:$AB$15))</f>
        <v>4.9283327449620475E-2</v>
      </c>
      <c r="G18" s="259" cm="1">
        <f t="array" aca="1" ref="G18" ca="1">_xlfn.XLOOKUP(G$13,INDIRECT("'"&amp;$B18&amp;" EI'!$B$6:$B$53"),_xlfn.XLOOKUP($C$10,INDIRECT("'"&amp;$B18&amp;" EI'!$D$4:$Z$4"),INDIRECT("'"&amp;$B18&amp;" EI'!$D$6:$Z$53")))*_xlfn.XLOOKUP($B18&amp;G$15,'Gas Useage'!$A$4:$A$15&amp;'Gas Useage'!$B$4:$B$15,_xlfn.XLOOKUP($C18&amp;G$14,'Gas Useage'!$C$2:$AB$2&amp;'Gas Useage'!$C$3:$AB$3,'Gas Useage'!$C$4:$AB$15))/_xlfn.XLOOKUP($B18&amp;G$15,'Gas Useage'!$A$4:$A$15&amp;'Gas Useage'!$B$4:$B$15,_xlfn.XLOOKUP(G$14,'Gas Useage'!$AA$3:$AB$3,'Gas Useage'!$AA$4:$AB$15))</f>
        <v>5.4156283833227837E-3</v>
      </c>
      <c r="H18" s="260" t="s">
        <v>278</v>
      </c>
      <c r="I18" s="260" t="s">
        <v>278</v>
      </c>
      <c r="J18" s="260" t="s">
        <v>278</v>
      </c>
      <c r="K18" s="261" t="s">
        <v>278</v>
      </c>
      <c r="N18" s="258"/>
    </row>
    <row r="19" spans="2:14" ht="13.5" hidden="1" x14ac:dyDescent="0.25">
      <c r="B19" s="32">
        <v>2020</v>
      </c>
      <c r="C19" s="198" t="s">
        <v>281</v>
      </c>
      <c r="D19" s="259" cm="1">
        <f t="array" aca="1" ref="D19" ca="1">_xlfn.XLOOKUP(D$13,INDIRECT("'"&amp;$B19&amp;" EI'!$B$6:$B$53"),_xlfn.XLOOKUP($C$10,INDIRECT("'"&amp;$B19&amp;" EI'!$D$4:$Z$4"),INDIRECT("'"&amp;$B19&amp;" EI'!$D$6:$Z$53")))*_xlfn.XLOOKUP($B19&amp;D$15,'Gas Useage'!$A$4:$A$15&amp;'Gas Useage'!$B$4:$B$15,_xlfn.XLOOKUP($C19&amp;D$14,'Gas Useage'!$C$2:$AB$2&amp;'Gas Useage'!$C$3:$AB$3,'Gas Useage'!$C$4:$AB$15))/_xlfn.XLOOKUP($B19&amp;D$15,'Gas Useage'!$A$4:$A$15&amp;'Gas Useage'!$B$4:$B$15,_xlfn.XLOOKUP(D$14,'Gas Useage'!$AA$3:$AB$3,'Gas Useage'!$AA$4:$AB$15))</f>
        <v>3.072278403470332E-2</v>
      </c>
      <c r="E19" s="259" cm="1">
        <f t="array" aca="1" ref="E19" ca="1">_xlfn.XLOOKUP(E$13,INDIRECT("'"&amp;$B19&amp;" EI'!$B$6:$B$53"),_xlfn.XLOOKUP($C$10,INDIRECT("'"&amp;$B19&amp;" EI'!$D$4:$Z$4"),INDIRECT("'"&amp;$B19&amp;" EI'!$D$6:$Z$53")))*_xlfn.XLOOKUP($B19&amp;E$15,'Gas Useage'!$A$4:$A$15&amp;'Gas Useage'!$B$4:$B$15,_xlfn.XLOOKUP($C19&amp;E$14,'Gas Useage'!$C$2:$AB$2&amp;'Gas Useage'!$C$3:$AB$3,'Gas Useage'!$C$4:$AB$15))/_xlfn.XLOOKUP($B19&amp;E$15,'Gas Useage'!$A$4:$A$15&amp;'Gas Useage'!$B$4:$B$15,_xlfn.XLOOKUP(E$14,'Gas Useage'!$AA$3:$AB$3,'Gas Useage'!$AA$4:$AB$15))</f>
        <v>3.4549229644393223E-3</v>
      </c>
      <c r="F19" s="259" cm="1">
        <f t="array" aca="1" ref="F19" ca="1">_xlfn.XLOOKUP(F$13,INDIRECT("'"&amp;$B19&amp;" EI'!$B$6:$B$53"),_xlfn.XLOOKUP($C$10,INDIRECT("'"&amp;$B19&amp;" EI'!$D$4:$Z$4"),INDIRECT("'"&amp;$B19&amp;" EI'!$D$6:$Z$53")))*_xlfn.XLOOKUP($B19&amp;F$15,'Gas Useage'!$A$4:$A$15&amp;'Gas Useage'!$B$4:$B$15,_xlfn.XLOOKUP($C19&amp;F$14,'Gas Useage'!$C$2:$AB$2&amp;'Gas Useage'!$C$3:$AB$3,'Gas Useage'!$C$4:$AB$15))/_xlfn.XLOOKUP($B19&amp;F$15,'Gas Useage'!$A$4:$A$15&amp;'Gas Useage'!$B$4:$B$15,_xlfn.XLOOKUP(F$14,'Gas Useage'!$AA$3:$AB$3,'Gas Useage'!$AA$4:$AB$15))</f>
        <v>3.0825432828671562E-2</v>
      </c>
      <c r="G19" s="259" cm="1">
        <f t="array" aca="1" ref="G19" ca="1">_xlfn.XLOOKUP(G$13,INDIRECT("'"&amp;$B19&amp;" EI'!$B$6:$B$53"),_xlfn.XLOOKUP($C$10,INDIRECT("'"&amp;$B19&amp;" EI'!$D$4:$Z$4"),INDIRECT("'"&amp;$B19&amp;" EI'!$D$6:$Z$53")))*_xlfn.XLOOKUP($B19&amp;G$15,'Gas Useage'!$A$4:$A$15&amp;'Gas Useage'!$B$4:$B$15,_xlfn.XLOOKUP($C19&amp;G$14,'Gas Useage'!$C$2:$AB$2&amp;'Gas Useage'!$C$3:$AB$3,'Gas Useage'!$C$4:$AB$15))/_xlfn.XLOOKUP($B19&amp;G$15,'Gas Useage'!$A$4:$A$15&amp;'Gas Useage'!$B$4:$B$15,_xlfn.XLOOKUP(G$14,'Gas Useage'!$AA$3:$AB$3,'Gas Useage'!$AA$4:$AB$15))</f>
        <v>3.4664663087909395E-3</v>
      </c>
      <c r="H19" s="260" t="s">
        <v>278</v>
      </c>
      <c r="I19" s="260" t="s">
        <v>278</v>
      </c>
      <c r="J19" s="260" t="s">
        <v>278</v>
      </c>
      <c r="K19" s="261" t="s">
        <v>278</v>
      </c>
      <c r="N19" s="258"/>
    </row>
    <row r="20" spans="2:14" ht="13.5" hidden="1" x14ac:dyDescent="0.25">
      <c r="B20" s="32">
        <v>2020</v>
      </c>
      <c r="C20" s="198" t="s">
        <v>282</v>
      </c>
      <c r="D20" s="259" cm="1">
        <f t="array" aca="1" ref="D20" ca="1">_xlfn.XLOOKUP(D$13,INDIRECT("'"&amp;$B20&amp;" EI'!$B$6:$B$53"),_xlfn.XLOOKUP($C$10,INDIRECT("'"&amp;$B20&amp;" EI'!$D$4:$Z$4"),INDIRECT("'"&amp;$B20&amp;" EI'!$D$6:$Z$53")))*_xlfn.XLOOKUP($B20&amp;D$15,'Gas Useage'!$A$4:$A$15&amp;'Gas Useage'!$B$4:$B$15,_xlfn.XLOOKUP($C20&amp;D$14,'Gas Useage'!$C$2:$AB$2&amp;'Gas Useage'!$C$3:$AB$3,'Gas Useage'!$C$4:$AB$15))/_xlfn.XLOOKUP($B20&amp;D$15,'Gas Useage'!$A$4:$A$15&amp;'Gas Useage'!$B$4:$B$15,_xlfn.XLOOKUP(D$14,'Gas Useage'!$AA$3:$AB$3,'Gas Useage'!$AA$4:$AB$15))</f>
        <v>1.9256289052128112E-3</v>
      </c>
      <c r="E20" s="259" cm="1">
        <f t="array" aca="1" ref="E20" ca="1">_xlfn.XLOOKUP(E$13,INDIRECT("'"&amp;$B20&amp;" EI'!$B$6:$B$53"),_xlfn.XLOOKUP($C$10,INDIRECT("'"&amp;$B20&amp;" EI'!$D$4:$Z$4"),INDIRECT("'"&amp;$B20&amp;" EI'!$D$6:$Z$53")))*_xlfn.XLOOKUP($B20&amp;E$15,'Gas Useage'!$A$4:$A$15&amp;'Gas Useage'!$B$4:$B$15,_xlfn.XLOOKUP($C20&amp;E$14,'Gas Useage'!$C$2:$AB$2&amp;'Gas Useage'!$C$3:$AB$3,'Gas Useage'!$C$4:$AB$15))/_xlfn.XLOOKUP($B20&amp;E$15,'Gas Useage'!$A$4:$A$15&amp;'Gas Useage'!$B$4:$B$15,_xlfn.XLOOKUP(E$14,'Gas Useage'!$AA$3:$AB$3,'Gas Useage'!$AA$4:$AB$15))</f>
        <v>1.2619797752548139E-4</v>
      </c>
      <c r="F20" s="259" cm="1">
        <f t="array" aca="1" ref="F20" ca="1">_xlfn.XLOOKUP(F$13,INDIRECT("'"&amp;$B20&amp;" EI'!$B$6:$B$53"),_xlfn.XLOOKUP($C$10,INDIRECT("'"&amp;$B20&amp;" EI'!$D$4:$Z$4"),INDIRECT("'"&amp;$B20&amp;" EI'!$D$6:$Z$53")))*_xlfn.XLOOKUP($B20&amp;F$15,'Gas Useage'!$A$4:$A$15&amp;'Gas Useage'!$B$4:$B$15,_xlfn.XLOOKUP($C20&amp;F$14,'Gas Useage'!$C$2:$AB$2&amp;'Gas Useage'!$C$3:$AB$3,'Gas Useage'!$C$4:$AB$15))/_xlfn.XLOOKUP($B20&amp;F$15,'Gas Useage'!$A$4:$A$15&amp;'Gas Useage'!$B$4:$B$15,_xlfn.XLOOKUP(F$14,'Gas Useage'!$AA$3:$AB$3,'Gas Useage'!$AA$4:$AB$15))</f>
        <v>9.3023508299514333E-7</v>
      </c>
      <c r="G20" s="259" cm="1">
        <f t="array" aca="1" ref="G20" ca="1">_xlfn.XLOOKUP(G$13,INDIRECT("'"&amp;$B20&amp;" EI'!$B$6:$B$53"),_xlfn.XLOOKUP($C$10,INDIRECT("'"&amp;$B20&amp;" EI'!$D$4:$Z$4"),INDIRECT("'"&amp;$B20&amp;" EI'!$D$6:$Z$53")))*_xlfn.XLOOKUP($B20&amp;G$15,'Gas Useage'!$A$4:$A$15&amp;'Gas Useage'!$B$4:$B$15,_xlfn.XLOOKUP($C20&amp;G$14,'Gas Useage'!$C$2:$AB$2&amp;'Gas Useage'!$C$3:$AB$3,'Gas Useage'!$C$4:$AB$15))/_xlfn.XLOOKUP($B20&amp;G$15,'Gas Useage'!$A$4:$A$15&amp;'Gas Useage'!$B$4:$B$15,_xlfn.XLOOKUP(G$14,'Gas Useage'!$AA$3:$AB$3,'Gas Useage'!$AA$4:$AB$15))</f>
        <v>6.0963867845690489E-8</v>
      </c>
      <c r="H20" s="260" t="s">
        <v>278</v>
      </c>
      <c r="I20" s="260" t="s">
        <v>278</v>
      </c>
      <c r="J20" s="260" t="s">
        <v>278</v>
      </c>
      <c r="K20" s="261" t="s">
        <v>278</v>
      </c>
      <c r="N20" s="258"/>
    </row>
    <row r="21" spans="2:14" ht="13.5" hidden="1" x14ac:dyDescent="0.25">
      <c r="B21" s="32">
        <v>2020</v>
      </c>
      <c r="C21" s="198" t="s">
        <v>283</v>
      </c>
      <c r="D21" s="259" cm="1">
        <f t="array" aca="1" ref="D21" ca="1">_xlfn.XLOOKUP(D$13,INDIRECT("'"&amp;$B21&amp;" EI'!$B$6:$B$53"),_xlfn.XLOOKUP($C$10,INDIRECT("'"&amp;$B21&amp;" EI'!$D$4:$Z$4"),INDIRECT("'"&amp;$B21&amp;" EI'!$D$6:$Z$53")))*_xlfn.XLOOKUP($B21&amp;D$15,'Gas Useage'!$A$4:$A$15&amp;'Gas Useage'!$B$4:$B$15,_xlfn.XLOOKUP($C21&amp;D$14,'Gas Useage'!$C$2:$AB$2&amp;'Gas Useage'!$C$3:$AB$3,'Gas Useage'!$C$4:$AB$15))/_xlfn.XLOOKUP($B21&amp;D$15,'Gas Useage'!$A$4:$A$15&amp;'Gas Useage'!$B$4:$B$15,_xlfn.XLOOKUP(D$14,'Gas Useage'!$AA$3:$AB$3,'Gas Useage'!$AA$4:$AB$15))</f>
        <v>0</v>
      </c>
      <c r="E21" s="259" cm="1">
        <f t="array" aca="1" ref="E21" ca="1">_xlfn.XLOOKUP(E$13,INDIRECT("'"&amp;$B21&amp;" EI'!$B$6:$B$53"),_xlfn.XLOOKUP($C$10,INDIRECT("'"&amp;$B21&amp;" EI'!$D$4:$Z$4"),INDIRECT("'"&amp;$B21&amp;" EI'!$D$6:$Z$53")))*_xlfn.XLOOKUP($B21&amp;E$15,'Gas Useage'!$A$4:$A$15&amp;'Gas Useage'!$B$4:$B$15,_xlfn.XLOOKUP($C21&amp;E$14,'Gas Useage'!$C$2:$AB$2&amp;'Gas Useage'!$C$3:$AB$3,'Gas Useage'!$C$4:$AB$15))/_xlfn.XLOOKUP($B21&amp;E$15,'Gas Useage'!$A$4:$A$15&amp;'Gas Useage'!$B$4:$B$15,_xlfn.XLOOKUP(E$14,'Gas Useage'!$AA$3:$AB$3,'Gas Useage'!$AA$4:$AB$15))</f>
        <v>0</v>
      </c>
      <c r="F21" s="259" cm="1">
        <f t="array" aca="1" ref="F21" ca="1">_xlfn.XLOOKUP(F$13,INDIRECT("'"&amp;$B21&amp;" EI'!$B$6:$B$53"),_xlfn.XLOOKUP($C$10,INDIRECT("'"&amp;$B21&amp;" EI'!$D$4:$Z$4"),INDIRECT("'"&amp;$B21&amp;" EI'!$D$6:$Z$53")))*_xlfn.XLOOKUP($B21&amp;F$15,'Gas Useage'!$A$4:$A$15&amp;'Gas Useage'!$B$4:$B$15,_xlfn.XLOOKUP($C21&amp;F$14,'Gas Useage'!$C$2:$AB$2&amp;'Gas Useage'!$C$3:$AB$3,'Gas Useage'!$C$4:$AB$15))/_xlfn.XLOOKUP($B21&amp;F$15,'Gas Useage'!$A$4:$A$15&amp;'Gas Useage'!$B$4:$B$15,_xlfn.XLOOKUP(F$14,'Gas Useage'!$AA$3:$AB$3,'Gas Useage'!$AA$4:$AB$15))</f>
        <v>0</v>
      </c>
      <c r="G21" s="259" cm="1">
        <f t="array" aca="1" ref="G21" ca="1">_xlfn.XLOOKUP(G$13,INDIRECT("'"&amp;$B21&amp;" EI'!$B$6:$B$53"),_xlfn.XLOOKUP($C$10,INDIRECT("'"&amp;$B21&amp;" EI'!$D$4:$Z$4"),INDIRECT("'"&amp;$B21&amp;" EI'!$D$6:$Z$53")))*_xlfn.XLOOKUP($B21&amp;G$15,'Gas Useage'!$A$4:$A$15&amp;'Gas Useage'!$B$4:$B$15,_xlfn.XLOOKUP($C21&amp;G$14,'Gas Useage'!$C$2:$AB$2&amp;'Gas Useage'!$C$3:$AB$3,'Gas Useage'!$C$4:$AB$15))/_xlfn.XLOOKUP($B21&amp;G$15,'Gas Useage'!$A$4:$A$15&amp;'Gas Useage'!$B$4:$B$15,_xlfn.XLOOKUP(G$14,'Gas Useage'!$AA$3:$AB$3,'Gas Useage'!$AA$4:$AB$15))</f>
        <v>0</v>
      </c>
      <c r="H21" s="260" t="s">
        <v>278</v>
      </c>
      <c r="I21" s="260" t="s">
        <v>278</v>
      </c>
      <c r="J21" s="260" t="s">
        <v>278</v>
      </c>
      <c r="K21" s="261" t="s">
        <v>278</v>
      </c>
      <c r="N21" s="258"/>
    </row>
    <row r="22" spans="2:14" ht="13.5" hidden="1" x14ac:dyDescent="0.25">
      <c r="B22" s="32">
        <v>2020</v>
      </c>
      <c r="C22" s="198" t="s">
        <v>284</v>
      </c>
      <c r="D22" s="259" cm="1">
        <f t="array" aca="1" ref="D22" ca="1">_xlfn.XLOOKUP(D$13,INDIRECT("'"&amp;$B22&amp;" EI'!$B$6:$B$53"),_xlfn.XLOOKUP($C$10,INDIRECT("'"&amp;$B22&amp;" EI'!$D$4:$Z$4"),INDIRECT("'"&amp;$B22&amp;" EI'!$D$6:$Z$53")))*_xlfn.XLOOKUP($B22&amp;D$15,'Gas Useage'!$A$4:$A$15&amp;'Gas Useage'!$B$4:$B$15,_xlfn.XLOOKUP($C22&amp;D$14,'Gas Useage'!$C$2:$AB$2&amp;'Gas Useage'!$C$3:$AB$3,'Gas Useage'!$C$4:$AB$15))/_xlfn.XLOOKUP($B22&amp;D$15,'Gas Useage'!$A$4:$A$15&amp;'Gas Useage'!$B$4:$B$15,_xlfn.XLOOKUP(D$14,'Gas Useage'!$AA$3:$AB$3,'Gas Useage'!$AA$4:$AB$15))</f>
        <v>7.741659052557745E-2</v>
      </c>
      <c r="E22" s="259" cm="1">
        <f t="array" aca="1" ref="E22" ca="1">_xlfn.XLOOKUP(E$13,INDIRECT("'"&amp;$B22&amp;" EI'!$B$6:$B$53"),_xlfn.XLOOKUP($C$10,INDIRECT("'"&amp;$B22&amp;" EI'!$D$4:$Z$4"),INDIRECT("'"&amp;$B22&amp;" EI'!$D$6:$Z$53")))*_xlfn.XLOOKUP($B22&amp;E$15,'Gas Useage'!$A$4:$A$15&amp;'Gas Useage'!$B$4:$B$15,_xlfn.XLOOKUP($C22&amp;E$14,'Gas Useage'!$C$2:$AB$2&amp;'Gas Useage'!$C$3:$AB$3,'Gas Useage'!$C$4:$AB$15))/_xlfn.XLOOKUP($B22&amp;E$15,'Gas Useage'!$A$4:$A$15&amp;'Gas Useage'!$B$4:$B$15,_xlfn.XLOOKUP(E$14,'Gas Useage'!$AA$3:$AB$3,'Gas Useage'!$AA$4:$AB$15))</f>
        <v>8.0933914169119704E-3</v>
      </c>
      <c r="F22" s="259" cm="1">
        <f t="array" aca="1" ref="F22" ca="1">_xlfn.XLOOKUP(F$13,INDIRECT("'"&amp;$B22&amp;" EI'!$B$6:$B$53"),_xlfn.XLOOKUP($C$10,INDIRECT("'"&amp;$B22&amp;" EI'!$D$4:$Z$4"),INDIRECT("'"&amp;$B22&amp;" EI'!$D$6:$Z$53")))*_xlfn.XLOOKUP($B22&amp;F$15,'Gas Useage'!$A$4:$A$15&amp;'Gas Useage'!$B$4:$B$15,_xlfn.XLOOKUP($C22&amp;F$14,'Gas Useage'!$C$2:$AB$2&amp;'Gas Useage'!$C$3:$AB$3,'Gas Useage'!$C$4:$AB$15))/_xlfn.XLOOKUP($B22&amp;F$15,'Gas Useage'!$A$4:$A$15&amp;'Gas Useage'!$B$4:$B$15,_xlfn.XLOOKUP(F$14,'Gas Useage'!$AA$3:$AB$3,'Gas Useage'!$AA$4:$AB$15))</f>
        <v>4.8660661537229026E-2</v>
      </c>
      <c r="G22" s="259" cm="1">
        <f t="array" aca="1" ref="G22" ca="1">_xlfn.XLOOKUP(G$13,INDIRECT("'"&amp;$B22&amp;" EI'!$B$6:$B$53"),_xlfn.XLOOKUP($C$10,INDIRECT("'"&amp;$B22&amp;" EI'!$D$4:$Z$4"),INDIRECT("'"&amp;$B22&amp;" EI'!$D$6:$Z$53")))*_xlfn.XLOOKUP($B22&amp;G$15,'Gas Useage'!$A$4:$A$15&amp;'Gas Useage'!$B$4:$B$15,_xlfn.XLOOKUP($C22&amp;G$14,'Gas Useage'!$C$2:$AB$2&amp;'Gas Useage'!$C$3:$AB$3,'Gas Useage'!$C$4:$AB$15))/_xlfn.XLOOKUP($B22&amp;G$15,'Gas Useage'!$A$4:$A$15&amp;'Gas Useage'!$B$4:$B$15,_xlfn.XLOOKUP(G$14,'Gas Useage'!$AA$3:$AB$3,'Gas Useage'!$AA$4:$AB$15))</f>
        <v>5.0871496374740458E-3</v>
      </c>
      <c r="H22" s="260" t="s">
        <v>278</v>
      </c>
      <c r="I22" s="260" t="s">
        <v>278</v>
      </c>
      <c r="J22" s="260" t="s">
        <v>278</v>
      </c>
      <c r="K22" s="261" t="s">
        <v>278</v>
      </c>
      <c r="N22" s="258"/>
    </row>
    <row r="23" spans="2:14" ht="13.5" hidden="1" x14ac:dyDescent="0.25">
      <c r="B23" s="32">
        <v>2020</v>
      </c>
      <c r="C23" s="198" t="s">
        <v>285</v>
      </c>
      <c r="D23" s="259" cm="1">
        <f t="array" aca="1" ref="D23" ca="1">_xlfn.XLOOKUP(D$13,INDIRECT("'"&amp;$B23&amp;" EI'!$B$6:$B$53"),_xlfn.XLOOKUP($C$10,INDIRECT("'"&amp;$B23&amp;" EI'!$D$4:$Z$4"),INDIRECT("'"&amp;$B23&amp;" EI'!$D$6:$Z$53")))*_xlfn.XLOOKUP($B23&amp;D$15,'Gas Useage'!$A$4:$A$15&amp;'Gas Useage'!$B$4:$B$15,_xlfn.XLOOKUP($C23&amp;D$14,'Gas Useage'!$C$2:$AB$2&amp;'Gas Useage'!$C$3:$AB$3,'Gas Useage'!$C$4:$AB$15))/_xlfn.XLOOKUP($B23&amp;D$15,'Gas Useage'!$A$4:$A$15&amp;'Gas Useage'!$B$4:$B$15,_xlfn.XLOOKUP(D$14,'Gas Useage'!$AA$3:$AB$3,'Gas Useage'!$AA$4:$AB$15))</f>
        <v>7.7865959490380124E-2</v>
      </c>
      <c r="E23" s="259" cm="1">
        <f t="array" aca="1" ref="E23" ca="1">_xlfn.XLOOKUP(E$13,INDIRECT("'"&amp;$B23&amp;" EI'!$B$6:$B$53"),_xlfn.XLOOKUP($C$10,INDIRECT("'"&amp;$B23&amp;" EI'!$D$4:$Z$4"),INDIRECT("'"&amp;$B23&amp;" EI'!$D$6:$Z$53")))*_xlfn.XLOOKUP($B23&amp;E$15,'Gas Useage'!$A$4:$A$15&amp;'Gas Useage'!$B$4:$B$15,_xlfn.XLOOKUP($C23&amp;E$14,'Gas Useage'!$C$2:$AB$2&amp;'Gas Useage'!$C$3:$AB$3,'Gas Useage'!$C$4:$AB$15))/_xlfn.XLOOKUP($B23&amp;E$15,'Gas Useage'!$A$4:$A$15&amp;'Gas Useage'!$B$4:$B$15,_xlfn.XLOOKUP(E$14,'Gas Useage'!$AA$3:$AB$3,'Gas Useage'!$AA$4:$AB$15))</f>
        <v>6.1895766900528391E-3</v>
      </c>
      <c r="F23" s="259" cm="1">
        <f t="array" aca="1" ref="F23" ca="1">_xlfn.XLOOKUP(F$13,INDIRECT("'"&amp;$B23&amp;" EI'!$B$6:$B$53"),_xlfn.XLOOKUP($C$10,INDIRECT("'"&amp;$B23&amp;" EI'!$D$4:$Z$4"),INDIRECT("'"&amp;$B23&amp;" EI'!$D$6:$Z$53")))*_xlfn.XLOOKUP($B23&amp;F$15,'Gas Useage'!$A$4:$A$15&amp;'Gas Useage'!$B$4:$B$15,_xlfn.XLOOKUP($C23&amp;F$14,'Gas Useage'!$C$2:$AB$2&amp;'Gas Useage'!$C$3:$AB$3,'Gas Useage'!$C$4:$AB$15))/_xlfn.XLOOKUP($B23&amp;F$15,'Gas Useage'!$A$4:$A$15&amp;'Gas Useage'!$B$4:$B$15,_xlfn.XLOOKUP(F$14,'Gas Useage'!$AA$3:$AB$3,'Gas Useage'!$AA$4:$AB$15))</f>
        <v>9.0211403909138312E-3</v>
      </c>
      <c r="G23" s="259" cm="1">
        <f t="array" aca="1" ref="G23" ca="1">_xlfn.XLOOKUP(G$13,INDIRECT("'"&amp;$B23&amp;" EI'!$B$6:$B$53"),_xlfn.XLOOKUP($C$10,INDIRECT("'"&amp;$B23&amp;" EI'!$D$4:$Z$4"),INDIRECT("'"&amp;$B23&amp;" EI'!$D$6:$Z$53")))*_xlfn.XLOOKUP($B23&amp;G$15,'Gas Useage'!$A$4:$A$15&amp;'Gas Useage'!$B$4:$B$15,_xlfn.XLOOKUP($C23&amp;G$14,'Gas Useage'!$C$2:$AB$2&amp;'Gas Useage'!$C$3:$AB$3,'Gas Useage'!$C$4:$AB$15))/_xlfn.XLOOKUP($B23&amp;G$15,'Gas Useage'!$A$4:$A$15&amp;'Gas Useage'!$B$4:$B$15,_xlfn.XLOOKUP(G$14,'Gas Useage'!$AA$3:$AB$3,'Gas Useage'!$AA$4:$AB$15))</f>
        <v>7.1709179013189643E-4</v>
      </c>
      <c r="H23" s="260" t="s">
        <v>278</v>
      </c>
      <c r="I23" s="260" t="s">
        <v>278</v>
      </c>
      <c r="J23" s="260" t="s">
        <v>278</v>
      </c>
      <c r="K23" s="261" t="s">
        <v>278</v>
      </c>
      <c r="N23" s="258"/>
    </row>
    <row r="24" spans="2:14" ht="13.5" hidden="1" x14ac:dyDescent="0.25">
      <c r="B24" s="32">
        <v>2020</v>
      </c>
      <c r="C24" s="198" t="s">
        <v>286</v>
      </c>
      <c r="D24" s="259" cm="1">
        <f t="array" aca="1" ref="D24" ca="1">_xlfn.XLOOKUP(D$13,INDIRECT("'"&amp;$B24&amp;" EI'!$B$6:$B$53"),_xlfn.XLOOKUP($C$10,INDIRECT("'"&amp;$B24&amp;" EI'!$D$4:$Z$4"),INDIRECT("'"&amp;$B24&amp;" EI'!$D$6:$Z$53")))*_xlfn.XLOOKUP($B24&amp;D$15,'Gas Useage'!$A$4:$A$15&amp;'Gas Useage'!$B$4:$B$15,_xlfn.XLOOKUP($C24&amp;D$14,'Gas Useage'!$C$2:$AB$2&amp;'Gas Useage'!$C$3:$AB$3,'Gas Useage'!$C$4:$AB$15))/_xlfn.XLOOKUP($B24&amp;D$15,'Gas Useage'!$A$4:$A$15&amp;'Gas Useage'!$B$4:$B$15,_xlfn.XLOOKUP(D$14,'Gas Useage'!$AA$3:$AB$3,'Gas Useage'!$AA$4:$AB$15))</f>
        <v>2.137595564585076E-2</v>
      </c>
      <c r="E24" s="259" cm="1">
        <f t="array" aca="1" ref="E24" ca="1">_xlfn.XLOOKUP(E$13,INDIRECT("'"&amp;$B24&amp;" EI'!$B$6:$B$53"),_xlfn.XLOOKUP($C$10,INDIRECT("'"&amp;$B24&amp;" EI'!$D$4:$Z$4"),INDIRECT("'"&amp;$B24&amp;" EI'!$D$6:$Z$53")))*_xlfn.XLOOKUP($B24&amp;E$15,'Gas Useage'!$A$4:$A$15&amp;'Gas Useage'!$B$4:$B$15,_xlfn.XLOOKUP($C24&amp;E$14,'Gas Useage'!$C$2:$AB$2&amp;'Gas Useage'!$C$3:$AB$3,'Gas Useage'!$C$4:$AB$15))/_xlfn.XLOOKUP($B24&amp;E$15,'Gas Useage'!$A$4:$A$15&amp;'Gas Useage'!$B$4:$B$15,_xlfn.XLOOKUP(E$14,'Gas Useage'!$AA$3:$AB$3,'Gas Useage'!$AA$4:$AB$15))</f>
        <v>2.7718734028862359E-3</v>
      </c>
      <c r="F24" s="259" cm="1">
        <f t="array" aca="1" ref="F24" ca="1">_xlfn.XLOOKUP(F$13,INDIRECT("'"&amp;$B24&amp;" EI'!$B$6:$B$53"),_xlfn.XLOOKUP($C$10,INDIRECT("'"&amp;$B24&amp;" EI'!$D$4:$Z$4"),INDIRECT("'"&amp;$B24&amp;" EI'!$D$6:$Z$53")))*_xlfn.XLOOKUP($B24&amp;F$15,'Gas Useage'!$A$4:$A$15&amp;'Gas Useage'!$B$4:$B$15,_xlfn.XLOOKUP($C24&amp;F$14,'Gas Useage'!$C$2:$AB$2&amp;'Gas Useage'!$C$3:$AB$3,'Gas Useage'!$C$4:$AB$15))/_xlfn.XLOOKUP($B24&amp;F$15,'Gas Useage'!$A$4:$A$15&amp;'Gas Useage'!$B$4:$B$15,_xlfn.XLOOKUP(F$14,'Gas Useage'!$AA$3:$AB$3,'Gas Useage'!$AA$4:$AB$15))</f>
        <v>1.4633841597936557E-4</v>
      </c>
      <c r="G24" s="259" cm="1">
        <f t="array" aca="1" ref="G24" ca="1">_xlfn.XLOOKUP(G$13,INDIRECT("'"&amp;$B24&amp;" EI'!$B$6:$B$53"),_xlfn.XLOOKUP($C$10,INDIRECT("'"&amp;$B24&amp;" EI'!$D$4:$Z$4"),INDIRECT("'"&amp;$B24&amp;" EI'!$D$6:$Z$53")))*_xlfn.XLOOKUP($B24&amp;G$15,'Gas Useage'!$A$4:$A$15&amp;'Gas Useage'!$B$4:$B$15,_xlfn.XLOOKUP($C24&amp;G$14,'Gas Useage'!$C$2:$AB$2&amp;'Gas Useage'!$C$3:$AB$3,'Gas Useage'!$C$4:$AB$15))/_xlfn.XLOOKUP($B24&amp;G$15,'Gas Useage'!$A$4:$A$15&amp;'Gas Useage'!$B$4:$B$15,_xlfn.XLOOKUP(G$14,'Gas Useage'!$AA$3:$AB$3,'Gas Useage'!$AA$4:$AB$15))</f>
        <v>1.8976066838557552E-5</v>
      </c>
      <c r="H24" s="260" t="s">
        <v>278</v>
      </c>
      <c r="I24" s="260" t="s">
        <v>278</v>
      </c>
      <c r="J24" s="260" t="s">
        <v>278</v>
      </c>
      <c r="K24" s="261" t="s">
        <v>278</v>
      </c>
      <c r="N24" s="258"/>
    </row>
    <row r="25" spans="2:14" ht="13.5" x14ac:dyDescent="0.25">
      <c r="B25" s="32">
        <v>2020</v>
      </c>
      <c r="C25" s="494" t="s">
        <v>287</v>
      </c>
      <c r="D25" s="259" cm="1">
        <f t="array" aca="1" ref="D25" ca="1">_xlfn.XLOOKUP(D$13,INDIRECT("'"&amp;$B25&amp;" EI'!$B$6:$B$53"),_xlfn.XLOOKUP($C$10,INDIRECT("'"&amp;$B25&amp;" EI'!$D$4:$Z$4"),INDIRECT("'"&amp;$B25&amp;" EI'!$D$6:$Z$53")))*_xlfn.XLOOKUP($B25&amp;D$15,'Gas Useage'!$A$4:$A$15&amp;'Gas Useage'!$B$4:$B$15,_xlfn.XLOOKUP($C25&amp;D$14,'Gas Useage'!$C$2:$AB$2&amp;'Gas Useage'!$C$3:$AB$3,'Gas Useage'!$C$4:$AB$15))/_xlfn.XLOOKUP($B25&amp;D$15,'Gas Useage'!$A$4:$A$15&amp;'Gas Useage'!$B$4:$B$15,_xlfn.XLOOKUP(D$14,'Gas Useage'!$AA$3:$AB$3,'Gas Useage'!$AA$4:$AB$15))</f>
        <v>2.4864861432578985E-2</v>
      </c>
      <c r="E25" s="259" cm="1">
        <f t="array" aca="1" ref="E25" ca="1">_xlfn.XLOOKUP(E$13,INDIRECT("'"&amp;$B25&amp;" EI'!$B$6:$B$53"),_xlfn.XLOOKUP($C$10,INDIRECT("'"&amp;$B25&amp;" EI'!$D$4:$Z$4"),INDIRECT("'"&amp;$B25&amp;" EI'!$D$6:$Z$53")))*_xlfn.XLOOKUP($B25&amp;E$15,'Gas Useage'!$A$4:$A$15&amp;'Gas Useage'!$B$4:$B$15,_xlfn.XLOOKUP($C25&amp;E$14,'Gas Useage'!$C$2:$AB$2&amp;'Gas Useage'!$C$3:$AB$3,'Gas Useage'!$C$4:$AB$15))/_xlfn.XLOOKUP($B25&amp;E$15,'Gas Useage'!$A$4:$A$15&amp;'Gas Useage'!$B$4:$B$15,_xlfn.XLOOKUP(E$14,'Gas Useage'!$AA$3:$AB$3,'Gas Useage'!$AA$4:$AB$15))</f>
        <v>2.2511766301385066E-3</v>
      </c>
      <c r="F25" s="259" cm="1">
        <f t="array" aca="1" ref="F25" ca="1">_xlfn.XLOOKUP(F$13,INDIRECT("'"&amp;$B25&amp;" EI'!$B$6:$B$53"),_xlfn.XLOOKUP($C$10,INDIRECT("'"&amp;$B25&amp;" EI'!$D$4:$Z$4"),INDIRECT("'"&amp;$B25&amp;" EI'!$D$6:$Z$53")))*_xlfn.XLOOKUP($B25&amp;F$15,'Gas Useage'!$A$4:$A$15&amp;'Gas Useage'!$B$4:$B$15,_xlfn.XLOOKUP($C25&amp;F$14,'Gas Useage'!$C$2:$AB$2&amp;'Gas Useage'!$C$3:$AB$3,'Gas Useage'!$C$4:$AB$15))/_xlfn.XLOOKUP($B25&amp;F$15,'Gas Useage'!$A$4:$A$15&amp;'Gas Useage'!$B$4:$B$15,_xlfn.XLOOKUP(F$14,'Gas Useage'!$AA$3:$AB$3,'Gas Useage'!$AA$4:$AB$15))</f>
        <v>5.7503915780662988E-2</v>
      </c>
      <c r="G25" s="259" cm="1">
        <f t="array" aca="1" ref="G25" ca="1">_xlfn.XLOOKUP(G$13,INDIRECT("'"&amp;$B25&amp;" EI'!$B$6:$B$53"),_xlfn.XLOOKUP($C$10,INDIRECT("'"&amp;$B25&amp;" EI'!$D$4:$Z$4"),INDIRECT("'"&amp;$B25&amp;" EI'!$D$6:$Z$53")))*_xlfn.XLOOKUP($B25&amp;G$15,'Gas Useage'!$A$4:$A$15&amp;'Gas Useage'!$B$4:$B$15,_xlfn.XLOOKUP($C25&amp;G$14,'Gas Useage'!$C$2:$AB$2&amp;'Gas Useage'!$C$3:$AB$3,'Gas Useage'!$C$4:$AB$15))/_xlfn.XLOOKUP($B25&amp;G$15,'Gas Useage'!$A$4:$A$15&amp;'Gas Useage'!$B$4:$B$15,_xlfn.XLOOKUP(G$14,'Gas Useage'!$AA$3:$AB$3,'Gas Useage'!$AA$4:$AB$15))</f>
        <v>5.2062011967325397E-3</v>
      </c>
      <c r="H25" s="260" t="s">
        <v>278</v>
      </c>
      <c r="I25" s="260" t="s">
        <v>278</v>
      </c>
      <c r="J25" s="260" t="s">
        <v>278</v>
      </c>
      <c r="K25" s="261" t="s">
        <v>278</v>
      </c>
      <c r="N25" s="258"/>
    </row>
    <row r="26" spans="2:14" ht="13.5" x14ac:dyDescent="0.25">
      <c r="B26" s="32">
        <v>2020</v>
      </c>
      <c r="C26" s="494" t="s">
        <v>288</v>
      </c>
      <c r="D26" s="259" cm="1">
        <f t="array" aca="1" ref="D26" ca="1">_xlfn.XLOOKUP(D$13,INDIRECT("'"&amp;$B26&amp;" EI'!$B$6:$B$53"),_xlfn.XLOOKUP($C$10,INDIRECT("'"&amp;$B26&amp;" EI'!$D$4:$Z$4"),INDIRECT("'"&amp;$B26&amp;" EI'!$D$6:$Z$53")))*_xlfn.XLOOKUP($B26&amp;D$15,'Gas Useage'!$A$4:$A$15&amp;'Gas Useage'!$B$4:$B$15,_xlfn.XLOOKUP($C26&amp;D$14,'Gas Useage'!$C$2:$AB$2&amp;'Gas Useage'!$C$3:$AB$3,'Gas Useage'!$C$4:$AB$15))/_xlfn.XLOOKUP($B26&amp;D$15,'Gas Useage'!$A$4:$A$15&amp;'Gas Useage'!$B$4:$B$15,_xlfn.XLOOKUP(D$14,'Gas Useage'!$AA$3:$AB$3,'Gas Useage'!$AA$4:$AB$15))</f>
        <v>5.3613666217759405E-2</v>
      </c>
      <c r="E26" s="259" cm="1">
        <f t="array" aca="1" ref="E26" ca="1">_xlfn.XLOOKUP(E$13,INDIRECT("'"&amp;$B26&amp;" EI'!$B$6:$B$53"),_xlfn.XLOOKUP($C$10,INDIRECT("'"&amp;$B26&amp;" EI'!$D$4:$Z$4"),INDIRECT("'"&amp;$B26&amp;" EI'!$D$6:$Z$53")))*_xlfn.XLOOKUP($B26&amp;E$15,'Gas Useage'!$A$4:$A$15&amp;'Gas Useage'!$B$4:$B$15,_xlfn.XLOOKUP($C26&amp;E$14,'Gas Useage'!$C$2:$AB$2&amp;'Gas Useage'!$C$3:$AB$3,'Gas Useage'!$C$4:$AB$15))/_xlfn.XLOOKUP($B26&amp;E$15,'Gas Useage'!$A$4:$A$15&amp;'Gas Useage'!$B$4:$B$15,_xlfn.XLOOKUP(E$14,'Gas Useage'!$AA$3:$AB$3,'Gas Useage'!$AA$4:$AB$15))</f>
        <v>6.557617261003036E-3</v>
      </c>
      <c r="F26" s="259" cm="1">
        <f t="array" aca="1" ref="F26" ca="1">_xlfn.XLOOKUP(F$13,INDIRECT("'"&amp;$B26&amp;" EI'!$B$6:$B$53"),_xlfn.XLOOKUP($C$10,INDIRECT("'"&amp;$B26&amp;" EI'!$D$4:$Z$4"),INDIRECT("'"&amp;$B26&amp;" EI'!$D$6:$Z$53")))*_xlfn.XLOOKUP($B26&amp;F$15,'Gas Useage'!$A$4:$A$15&amp;'Gas Useage'!$B$4:$B$15,_xlfn.XLOOKUP($C26&amp;F$14,'Gas Useage'!$C$2:$AB$2&amp;'Gas Useage'!$C$3:$AB$3,'Gas Useage'!$C$4:$AB$15))/_xlfn.XLOOKUP($B26&amp;F$15,'Gas Useage'!$A$4:$A$15&amp;'Gas Useage'!$B$4:$B$15,_xlfn.XLOOKUP(F$14,'Gas Useage'!$AA$3:$AB$3,'Gas Useage'!$AA$4:$AB$15))</f>
        <v>8.115547130142052E-2</v>
      </c>
      <c r="G26" s="259" cm="1">
        <f t="array" aca="1" ref="G26" ca="1">_xlfn.XLOOKUP(G$13,INDIRECT("'"&amp;$B26&amp;" EI'!$B$6:$B$53"),_xlfn.XLOOKUP($C$10,INDIRECT("'"&amp;$B26&amp;" EI'!$D$4:$Z$4"),INDIRECT("'"&amp;$B26&amp;" EI'!$D$6:$Z$53")))*_xlfn.XLOOKUP($B26&amp;G$15,'Gas Useage'!$A$4:$A$15&amp;'Gas Useage'!$B$4:$B$15,_xlfn.XLOOKUP($C26&amp;G$14,'Gas Useage'!$C$2:$AB$2&amp;'Gas Useage'!$C$3:$AB$3,'Gas Useage'!$C$4:$AB$15))/_xlfn.XLOOKUP($B26&amp;G$15,'Gas Useage'!$A$4:$A$15&amp;'Gas Useage'!$B$4:$B$15,_xlfn.XLOOKUP(G$14,'Gas Useage'!$AA$3:$AB$3,'Gas Useage'!$AA$4:$AB$15))</f>
        <v>9.9263220923837218E-3</v>
      </c>
      <c r="H26" s="260" t="s">
        <v>278</v>
      </c>
      <c r="I26" s="260" t="s">
        <v>278</v>
      </c>
      <c r="J26" s="260" t="s">
        <v>278</v>
      </c>
      <c r="K26" s="261" t="s">
        <v>278</v>
      </c>
      <c r="N26" s="258"/>
    </row>
    <row r="27" spans="2:14" ht="13.5" x14ac:dyDescent="0.25">
      <c r="B27" s="32">
        <v>2020</v>
      </c>
      <c r="C27" s="494" t="s">
        <v>289</v>
      </c>
      <c r="D27" s="259" cm="1">
        <f t="array" aca="1" ref="D27" ca="1">_xlfn.XLOOKUP(D$13,INDIRECT("'"&amp;$B27&amp;" EI'!$B$6:$B$53"),_xlfn.XLOOKUP($C$10,INDIRECT("'"&amp;$B27&amp;" EI'!$D$4:$Z$4"),INDIRECT("'"&amp;$B27&amp;" EI'!$D$6:$Z$53")))*_xlfn.XLOOKUP($B27&amp;D$15,'Gas Useage'!$A$4:$A$15&amp;'Gas Useage'!$B$4:$B$15,_xlfn.XLOOKUP($C27&amp;D$14,'Gas Useage'!$C$2:$AB$2&amp;'Gas Useage'!$C$3:$AB$3,'Gas Useage'!$C$4:$AB$15))/_xlfn.XLOOKUP($B27&amp;D$15,'Gas Useage'!$A$4:$A$15&amp;'Gas Useage'!$B$4:$B$15,_xlfn.XLOOKUP(D$14,'Gas Useage'!$AA$3:$AB$3,'Gas Useage'!$AA$4:$AB$15))</f>
        <v>5.3613666217759405E-2</v>
      </c>
      <c r="E27" s="259" cm="1">
        <f t="array" aca="1" ref="E27" ca="1">_xlfn.XLOOKUP(E$13,INDIRECT("'"&amp;$B27&amp;" EI'!$B$6:$B$53"),_xlfn.XLOOKUP($C$10,INDIRECT("'"&amp;$B27&amp;" EI'!$D$4:$Z$4"),INDIRECT("'"&amp;$B27&amp;" EI'!$D$6:$Z$53")))*_xlfn.XLOOKUP($B27&amp;E$15,'Gas Useage'!$A$4:$A$15&amp;'Gas Useage'!$B$4:$B$15,_xlfn.XLOOKUP($C27&amp;E$14,'Gas Useage'!$C$2:$AB$2&amp;'Gas Useage'!$C$3:$AB$3,'Gas Useage'!$C$4:$AB$15))/_xlfn.XLOOKUP($B27&amp;E$15,'Gas Useage'!$A$4:$A$15&amp;'Gas Useage'!$B$4:$B$15,_xlfn.XLOOKUP(E$14,'Gas Useage'!$AA$3:$AB$3,'Gas Useage'!$AA$4:$AB$15))</f>
        <v>6.557617261003036E-3</v>
      </c>
      <c r="F27" s="259" cm="1">
        <f t="array" aca="1" ref="F27" ca="1">_xlfn.XLOOKUP(F$13,INDIRECT("'"&amp;$B27&amp;" EI'!$B$6:$B$53"),_xlfn.XLOOKUP($C$10,INDIRECT("'"&amp;$B27&amp;" EI'!$D$4:$Z$4"),INDIRECT("'"&amp;$B27&amp;" EI'!$D$6:$Z$53")))*_xlfn.XLOOKUP($B27&amp;F$15,'Gas Useage'!$A$4:$A$15&amp;'Gas Useage'!$B$4:$B$15,_xlfn.XLOOKUP($C27&amp;F$14,'Gas Useage'!$C$2:$AB$2&amp;'Gas Useage'!$C$3:$AB$3,'Gas Useage'!$C$4:$AB$15))/_xlfn.XLOOKUP($B27&amp;F$15,'Gas Useage'!$A$4:$A$15&amp;'Gas Useage'!$B$4:$B$15,_xlfn.XLOOKUP(F$14,'Gas Useage'!$AA$3:$AB$3,'Gas Useage'!$AA$4:$AB$15))</f>
        <v>8.115547130142052E-2</v>
      </c>
      <c r="G27" s="259" cm="1">
        <f t="array" aca="1" ref="G27" ca="1">_xlfn.XLOOKUP(G$13,INDIRECT("'"&amp;$B27&amp;" EI'!$B$6:$B$53"),_xlfn.XLOOKUP($C$10,INDIRECT("'"&amp;$B27&amp;" EI'!$D$4:$Z$4"),INDIRECT("'"&amp;$B27&amp;" EI'!$D$6:$Z$53")))*_xlfn.XLOOKUP($B27&amp;G$15,'Gas Useage'!$A$4:$A$15&amp;'Gas Useage'!$B$4:$B$15,_xlfn.XLOOKUP($C27&amp;G$14,'Gas Useage'!$C$2:$AB$2&amp;'Gas Useage'!$C$3:$AB$3,'Gas Useage'!$C$4:$AB$15))/_xlfn.XLOOKUP($B27&amp;G$15,'Gas Useage'!$A$4:$A$15&amp;'Gas Useage'!$B$4:$B$15,_xlfn.XLOOKUP(G$14,'Gas Useage'!$AA$3:$AB$3,'Gas Useage'!$AA$4:$AB$15))</f>
        <v>9.9263220923837218E-3</v>
      </c>
      <c r="H27" s="260" t="s">
        <v>278</v>
      </c>
      <c r="I27" s="260" t="s">
        <v>278</v>
      </c>
      <c r="J27" s="260" t="s">
        <v>278</v>
      </c>
      <c r="K27" s="261" t="s">
        <v>278</v>
      </c>
      <c r="N27" s="258"/>
    </row>
    <row r="28" spans="2:14" ht="13.5" x14ac:dyDescent="0.25">
      <c r="B28" s="32">
        <v>2021</v>
      </c>
      <c r="C28" s="494" t="s">
        <v>277</v>
      </c>
      <c r="D28" s="259" cm="1">
        <f t="array" aca="1" ref="D28" ca="1">_xlfn.XLOOKUP(D$13,INDIRECT("'"&amp;$B28&amp;" EI'!$B$6:$B$53"),_xlfn.XLOOKUP($C$10,INDIRECT("'"&amp;$B28&amp;" EI'!$D$4:$Z$4"),INDIRECT("'"&amp;$B28&amp;" EI'!$D$6:$Z$53")))*_xlfn.XLOOKUP($B28&amp;D$15,'Gas Useage'!$A$4:$A$15&amp;'Gas Useage'!$B$4:$B$15,_xlfn.XLOOKUP($C28&amp;D$14,'Gas Useage'!$C$2:$AB$2&amp;'Gas Useage'!$C$3:$AB$3,'Gas Useage'!$C$4:$AB$15))/_xlfn.XLOOKUP($B28&amp;D$15,'Gas Useage'!$A$4:$A$15&amp;'Gas Useage'!$B$4:$B$15,_xlfn.XLOOKUP(D$14,'Gas Useage'!$AA$3:$AB$3,'Gas Useage'!$AA$4:$AB$15))</f>
        <v>7.7793575587480276E-2</v>
      </c>
      <c r="E28" s="259" cm="1">
        <f t="array" aca="1" ref="E28" ca="1">_xlfn.XLOOKUP(E$13,INDIRECT("'"&amp;$B28&amp;" EI'!$B$6:$B$53"),_xlfn.XLOOKUP($C$10,INDIRECT("'"&amp;$B28&amp;" EI'!$D$4:$Z$4"),INDIRECT("'"&amp;$B28&amp;" EI'!$D$6:$Z$53")))*_xlfn.XLOOKUP($B28&amp;E$15,'Gas Useage'!$A$4:$A$15&amp;'Gas Useage'!$B$4:$B$15,_xlfn.XLOOKUP($C28&amp;E$14,'Gas Useage'!$C$2:$AB$2&amp;'Gas Useage'!$C$3:$AB$3,'Gas Useage'!$C$4:$AB$15))/_xlfn.XLOOKUP($B28&amp;E$15,'Gas Useage'!$A$4:$A$15&amp;'Gas Useage'!$B$4:$B$15,_xlfn.XLOOKUP(E$14,'Gas Useage'!$AA$3:$AB$3,'Gas Useage'!$AA$4:$AB$15))</f>
        <v>3.1196783112331463E-3</v>
      </c>
      <c r="F28" s="259" cm="1">
        <f t="array" aca="1" ref="F28" ca="1">_xlfn.XLOOKUP(F$13,INDIRECT("'"&amp;$B28&amp;" EI'!$B$6:$B$53"),_xlfn.XLOOKUP($C$10,INDIRECT("'"&amp;$B28&amp;" EI'!$D$4:$Z$4"),INDIRECT("'"&amp;$B28&amp;" EI'!$D$6:$Z$53")))*_xlfn.XLOOKUP($B28&amp;F$15,'Gas Useage'!$A$4:$A$15&amp;'Gas Useage'!$B$4:$B$15,_xlfn.XLOOKUP($C28&amp;F$14,'Gas Useage'!$C$2:$AB$2&amp;'Gas Useage'!$C$3:$AB$3,'Gas Useage'!$C$4:$AB$15))/_xlfn.XLOOKUP($B28&amp;F$15,'Gas Useage'!$A$4:$A$15&amp;'Gas Useage'!$B$4:$B$15,_xlfn.XLOOKUP(F$14,'Gas Useage'!$AA$3:$AB$3,'Gas Useage'!$AA$4:$AB$15))</f>
        <v>9.6370492252763548E-2</v>
      </c>
      <c r="G28" s="259" cm="1">
        <f t="array" aca="1" ref="G28" ca="1">_xlfn.XLOOKUP(G$13,INDIRECT("'"&amp;$B28&amp;" EI'!$B$6:$B$53"),_xlfn.XLOOKUP($C$10,INDIRECT("'"&amp;$B28&amp;" EI'!$D$4:$Z$4"),INDIRECT("'"&amp;$B28&amp;" EI'!$D$6:$Z$53")))*_xlfn.XLOOKUP($B28&amp;G$15,'Gas Useage'!$A$4:$A$15&amp;'Gas Useage'!$B$4:$B$15,_xlfn.XLOOKUP($C28&amp;G$14,'Gas Useage'!$C$2:$AB$2&amp;'Gas Useage'!$C$3:$AB$3,'Gas Useage'!$C$4:$AB$15))/_xlfn.XLOOKUP($B28&amp;G$15,'Gas Useage'!$A$4:$A$15&amp;'Gas Useage'!$B$4:$B$15,_xlfn.XLOOKUP(G$14,'Gas Useage'!$AA$3:$AB$3,'Gas Useage'!$AA$4:$AB$15))</f>
        <v>3.8646499052576344E-3</v>
      </c>
      <c r="H28" s="260" t="s">
        <v>278</v>
      </c>
      <c r="I28" s="260" t="s">
        <v>278</v>
      </c>
      <c r="J28" s="260" t="s">
        <v>278</v>
      </c>
      <c r="K28" s="261" t="s">
        <v>278</v>
      </c>
      <c r="N28" s="258"/>
    </row>
    <row r="29" spans="2:14" ht="13.5" x14ac:dyDescent="0.25">
      <c r="B29" s="32">
        <v>2021</v>
      </c>
      <c r="C29" s="494" t="s">
        <v>279</v>
      </c>
      <c r="D29" s="259" cm="1">
        <f t="array" aca="1" ref="D29" ca="1">_xlfn.XLOOKUP(D$13,INDIRECT("'"&amp;$B29&amp;" EI'!$B$6:$B$53"),_xlfn.XLOOKUP($C$10,INDIRECT("'"&amp;$B29&amp;" EI'!$D$4:$Z$4"),INDIRECT("'"&amp;$B29&amp;" EI'!$D$6:$Z$53")))*_xlfn.XLOOKUP($B29&amp;D$15,'Gas Useage'!$A$4:$A$15&amp;'Gas Useage'!$B$4:$B$15,_xlfn.XLOOKUP($C29&amp;D$14,'Gas Useage'!$C$2:$AB$2&amp;'Gas Useage'!$C$3:$AB$3,'Gas Useage'!$C$4:$AB$15))/_xlfn.XLOOKUP($B29&amp;D$15,'Gas Useage'!$A$4:$A$15&amp;'Gas Useage'!$B$4:$B$15,_xlfn.XLOOKUP(D$14,'Gas Useage'!$AA$3:$AB$3,'Gas Useage'!$AA$4:$AB$15))</f>
        <v>5.279823506501783E-2</v>
      </c>
      <c r="E29" s="259" cm="1">
        <f t="array" aca="1" ref="E29" ca="1">_xlfn.XLOOKUP(E$13,INDIRECT("'"&amp;$B29&amp;" EI'!$B$6:$B$53"),_xlfn.XLOOKUP($C$10,INDIRECT("'"&amp;$B29&amp;" EI'!$D$4:$Z$4"),INDIRECT("'"&amp;$B29&amp;" EI'!$D$6:$Z$53")))*_xlfn.XLOOKUP($B29&amp;E$15,'Gas Useage'!$A$4:$A$15&amp;'Gas Useage'!$B$4:$B$15,_xlfn.XLOOKUP($C29&amp;E$14,'Gas Useage'!$C$2:$AB$2&amp;'Gas Useage'!$C$3:$AB$3,'Gas Useage'!$C$4:$AB$15))/_xlfn.XLOOKUP($B29&amp;E$15,'Gas Useage'!$A$4:$A$15&amp;'Gas Useage'!$B$4:$B$15,_xlfn.XLOOKUP(E$14,'Gas Useage'!$AA$3:$AB$3,'Gas Useage'!$AA$4:$AB$15))</f>
        <v>4.5136776215199195E-3</v>
      </c>
      <c r="F29" s="259" cm="1">
        <f t="array" aca="1" ref="F29" ca="1">_xlfn.XLOOKUP(F$13,INDIRECT("'"&amp;$B29&amp;" EI'!$B$6:$B$53"),_xlfn.XLOOKUP($C$10,INDIRECT("'"&amp;$B29&amp;" EI'!$D$4:$Z$4"),INDIRECT("'"&amp;$B29&amp;" EI'!$D$6:$Z$53")))*_xlfn.XLOOKUP($B29&amp;F$15,'Gas Useage'!$A$4:$A$15&amp;'Gas Useage'!$B$4:$B$15,_xlfn.XLOOKUP($C29&amp;F$14,'Gas Useage'!$C$2:$AB$2&amp;'Gas Useage'!$C$3:$AB$3,'Gas Useage'!$C$4:$AB$15))/_xlfn.XLOOKUP($B29&amp;F$15,'Gas Useage'!$A$4:$A$15&amp;'Gas Useage'!$B$4:$B$15,_xlfn.XLOOKUP(F$14,'Gas Useage'!$AA$3:$AB$3,'Gas Useage'!$AA$4:$AB$15))</f>
        <v>7.2395359948118049E-2</v>
      </c>
      <c r="G29" s="259" cm="1">
        <f t="array" aca="1" ref="G29" ca="1">_xlfn.XLOOKUP(G$13,INDIRECT("'"&amp;$B29&amp;" EI'!$B$6:$B$53"),_xlfn.XLOOKUP($C$10,INDIRECT("'"&amp;$B29&amp;" EI'!$D$4:$Z$4"),INDIRECT("'"&amp;$B29&amp;" EI'!$D$6:$Z$53")))*_xlfn.XLOOKUP($B29&amp;G$15,'Gas Useage'!$A$4:$A$15&amp;'Gas Useage'!$B$4:$B$15,_xlfn.XLOOKUP($C29&amp;G$14,'Gas Useage'!$C$2:$AB$2&amp;'Gas Useage'!$C$3:$AB$3,'Gas Useage'!$C$4:$AB$15))/_xlfn.XLOOKUP($B29&amp;G$15,'Gas Useage'!$A$4:$A$15&amp;'Gas Useage'!$B$4:$B$15,_xlfn.XLOOKUP(G$14,'Gas Useage'!$AA$3:$AB$3,'Gas Useage'!$AA$4:$AB$15))</f>
        <v>6.1890196840349541E-3</v>
      </c>
      <c r="H29" s="260" t="s">
        <v>278</v>
      </c>
      <c r="I29" s="260" t="s">
        <v>278</v>
      </c>
      <c r="J29" s="260" t="s">
        <v>278</v>
      </c>
      <c r="K29" s="261" t="s">
        <v>278</v>
      </c>
      <c r="N29" s="258"/>
    </row>
    <row r="30" spans="2:14" ht="13.5" x14ac:dyDescent="0.25">
      <c r="B30" s="32">
        <v>2021</v>
      </c>
      <c r="C30" s="494" t="s">
        <v>280</v>
      </c>
      <c r="D30" s="259" cm="1">
        <f t="array" aca="1" ref="D30" ca="1">_xlfn.XLOOKUP(D$13,INDIRECT("'"&amp;$B30&amp;" EI'!$B$6:$B$53"),_xlfn.XLOOKUP($C$10,INDIRECT("'"&amp;$B30&amp;" EI'!$D$4:$Z$4"),INDIRECT("'"&amp;$B30&amp;" EI'!$D$6:$Z$53")))*_xlfn.XLOOKUP($B30&amp;D$15,'Gas Useage'!$A$4:$A$15&amp;'Gas Useage'!$B$4:$B$15,_xlfn.XLOOKUP($C30&amp;D$14,'Gas Useage'!$C$2:$AB$2&amp;'Gas Useage'!$C$3:$AB$3,'Gas Useage'!$C$4:$AB$15))/_xlfn.XLOOKUP($B30&amp;D$15,'Gas Useage'!$A$4:$A$15&amp;'Gas Useage'!$B$4:$B$15,_xlfn.XLOOKUP(D$14,'Gas Useage'!$AA$3:$AB$3,'Gas Useage'!$AA$4:$AB$15))</f>
        <v>0.1103588774725832</v>
      </c>
      <c r="E30" s="259" cm="1">
        <f t="array" aca="1" ref="E30" ca="1">_xlfn.XLOOKUP(E$13,INDIRECT("'"&amp;$B30&amp;" EI'!$B$6:$B$53"),_xlfn.XLOOKUP($C$10,INDIRECT("'"&amp;$B30&amp;" EI'!$D$4:$Z$4"),INDIRECT("'"&amp;$B30&amp;" EI'!$D$6:$Z$53")))*_xlfn.XLOOKUP($B30&amp;E$15,'Gas Useage'!$A$4:$A$15&amp;'Gas Useage'!$B$4:$B$15,_xlfn.XLOOKUP($C30&amp;E$14,'Gas Useage'!$C$2:$AB$2&amp;'Gas Useage'!$C$3:$AB$3,'Gas Useage'!$C$4:$AB$15))/_xlfn.XLOOKUP($B30&amp;E$15,'Gas Useage'!$A$4:$A$15&amp;'Gas Useage'!$B$4:$B$15,_xlfn.XLOOKUP(E$14,'Gas Useage'!$AA$3:$AB$3,'Gas Useage'!$AA$4:$AB$15))</f>
        <v>7.3763857117128875E-3</v>
      </c>
      <c r="F30" s="259" cm="1">
        <f t="array" aca="1" ref="F30" ca="1">_xlfn.XLOOKUP(F$13,INDIRECT("'"&amp;$B30&amp;" EI'!$B$6:$B$53"),_xlfn.XLOOKUP($C$10,INDIRECT("'"&amp;$B30&amp;" EI'!$D$4:$Z$4"),INDIRECT("'"&amp;$B30&amp;" EI'!$D$6:$Z$53")))*_xlfn.XLOOKUP($B30&amp;F$15,'Gas Useage'!$A$4:$A$15&amp;'Gas Useage'!$B$4:$B$15,_xlfn.XLOOKUP($C30&amp;F$14,'Gas Useage'!$C$2:$AB$2&amp;'Gas Useage'!$C$3:$AB$3,'Gas Useage'!$C$4:$AB$15))/_xlfn.XLOOKUP($B30&amp;F$15,'Gas Useage'!$A$4:$A$15&amp;'Gas Useage'!$B$4:$B$15,_xlfn.XLOOKUP(F$14,'Gas Useage'!$AA$3:$AB$3,'Gas Useage'!$AA$4:$AB$15))</f>
        <v>7.6263351461984055E-2</v>
      </c>
      <c r="G30" s="259" cm="1">
        <f t="array" aca="1" ref="G30" ca="1">_xlfn.XLOOKUP(G$13,INDIRECT("'"&amp;$B30&amp;" EI'!$B$6:$B$53"),_xlfn.XLOOKUP($C$10,INDIRECT("'"&amp;$B30&amp;" EI'!$D$4:$Z$4"),INDIRECT("'"&amp;$B30&amp;" EI'!$D$6:$Z$53")))*_xlfn.XLOOKUP($B30&amp;G$15,'Gas Useage'!$A$4:$A$15&amp;'Gas Useage'!$B$4:$B$15,_xlfn.XLOOKUP($C30&amp;G$14,'Gas Useage'!$C$2:$AB$2&amp;'Gas Useage'!$C$3:$AB$3,'Gas Useage'!$C$4:$AB$15))/_xlfn.XLOOKUP($B30&amp;G$15,'Gas Useage'!$A$4:$A$15&amp;'Gas Useage'!$B$4:$B$15,_xlfn.XLOOKUP(G$14,'Gas Useage'!$AA$3:$AB$3,'Gas Useage'!$AA$4:$AB$15))</f>
        <v>5.0974412655771413E-3</v>
      </c>
      <c r="H30" s="260" t="s">
        <v>278</v>
      </c>
      <c r="I30" s="260" t="s">
        <v>278</v>
      </c>
      <c r="J30" s="260" t="s">
        <v>278</v>
      </c>
      <c r="K30" s="261" t="s">
        <v>278</v>
      </c>
      <c r="N30" s="258"/>
    </row>
    <row r="31" spans="2:14" ht="13.5" x14ac:dyDescent="0.25">
      <c r="B31" s="32">
        <v>2021</v>
      </c>
      <c r="C31" s="494" t="s">
        <v>281</v>
      </c>
      <c r="D31" s="259" cm="1">
        <f t="array" aca="1" ref="D31" ca="1">_xlfn.XLOOKUP(D$13,INDIRECT("'"&amp;$B31&amp;" EI'!$B$6:$B$53"),_xlfn.XLOOKUP($C$10,INDIRECT("'"&amp;$B31&amp;" EI'!$D$4:$Z$4"),INDIRECT("'"&amp;$B31&amp;" EI'!$D$6:$Z$53")))*_xlfn.XLOOKUP($B31&amp;D$15,'Gas Useage'!$A$4:$A$15&amp;'Gas Useage'!$B$4:$B$15,_xlfn.XLOOKUP($C31&amp;D$14,'Gas Useage'!$C$2:$AB$2&amp;'Gas Useage'!$C$3:$AB$3,'Gas Useage'!$C$4:$AB$15))/_xlfn.XLOOKUP($B31&amp;D$15,'Gas Useage'!$A$4:$A$15&amp;'Gas Useage'!$B$4:$B$15,_xlfn.XLOOKUP(D$14,'Gas Useage'!$AA$3:$AB$3,'Gas Useage'!$AA$4:$AB$15))</f>
        <v>4.9525122950674003E-2</v>
      </c>
      <c r="E31" s="259" cm="1">
        <f t="array" aca="1" ref="E31" ca="1">_xlfn.XLOOKUP(E$13,INDIRECT("'"&amp;$B31&amp;" EI'!$B$6:$B$53"),_xlfn.XLOOKUP($C$10,INDIRECT("'"&amp;$B31&amp;" EI'!$D$4:$Z$4"),INDIRECT("'"&amp;$B31&amp;" EI'!$D$6:$Z$53")))*_xlfn.XLOOKUP($B31&amp;E$15,'Gas Useage'!$A$4:$A$15&amp;'Gas Useage'!$B$4:$B$15,_xlfn.XLOOKUP($C31&amp;E$14,'Gas Useage'!$C$2:$AB$2&amp;'Gas Useage'!$C$3:$AB$3,'Gas Useage'!$C$4:$AB$15))/_xlfn.XLOOKUP($B31&amp;E$15,'Gas Useage'!$A$4:$A$15&amp;'Gas Useage'!$B$4:$B$15,_xlfn.XLOOKUP(E$14,'Gas Useage'!$AA$3:$AB$3,'Gas Useage'!$AA$4:$AB$15))</f>
        <v>2.7097805500119949E-3</v>
      </c>
      <c r="F31" s="259" cm="1">
        <f t="array" aca="1" ref="F31" ca="1">_xlfn.XLOOKUP(F$13,INDIRECT("'"&amp;$B31&amp;" EI'!$B$6:$B$53"),_xlfn.XLOOKUP($C$10,INDIRECT("'"&amp;$B31&amp;" EI'!$D$4:$Z$4"),INDIRECT("'"&amp;$B31&amp;" EI'!$D$6:$Z$53")))*_xlfn.XLOOKUP($B31&amp;F$15,'Gas Useage'!$A$4:$A$15&amp;'Gas Useage'!$B$4:$B$15,_xlfn.XLOOKUP($C31&amp;F$14,'Gas Useage'!$C$2:$AB$2&amp;'Gas Useage'!$C$3:$AB$3,'Gas Useage'!$C$4:$AB$15))/_xlfn.XLOOKUP($B31&amp;F$15,'Gas Useage'!$A$4:$A$15&amp;'Gas Useage'!$B$4:$B$15,_xlfn.XLOOKUP(F$14,'Gas Useage'!$AA$3:$AB$3,'Gas Useage'!$AA$4:$AB$15))</f>
        <v>7.2504406212213546E-2</v>
      </c>
      <c r="G31" s="259" cm="1">
        <f t="array" aca="1" ref="G31" ca="1">_xlfn.XLOOKUP(G$13,INDIRECT("'"&amp;$B31&amp;" EI'!$B$6:$B$53"),_xlfn.XLOOKUP($C$10,INDIRECT("'"&amp;$B31&amp;" EI'!$D$4:$Z$4"),INDIRECT("'"&amp;$B31&amp;" EI'!$D$6:$Z$53")))*_xlfn.XLOOKUP($B31&amp;G$15,'Gas Useage'!$A$4:$A$15&amp;'Gas Useage'!$B$4:$B$15,_xlfn.XLOOKUP($C31&amp;G$14,'Gas Useage'!$C$2:$AB$2&amp;'Gas Useage'!$C$3:$AB$3,'Gas Useage'!$C$4:$AB$15))/_xlfn.XLOOKUP($B31&amp;G$15,'Gas Useage'!$A$4:$A$15&amp;'Gas Useage'!$B$4:$B$15,_xlfn.XLOOKUP(G$14,'Gas Useage'!$AA$3:$AB$3,'Gas Useage'!$AA$4:$AB$15))</f>
        <v>3.967098273328998E-3</v>
      </c>
      <c r="H31" s="260" t="s">
        <v>278</v>
      </c>
      <c r="I31" s="260" t="s">
        <v>278</v>
      </c>
      <c r="J31" s="260" t="s">
        <v>278</v>
      </c>
      <c r="K31" s="261" t="s">
        <v>278</v>
      </c>
      <c r="N31" s="258"/>
    </row>
    <row r="32" spans="2:14" ht="13.5" x14ac:dyDescent="0.25">
      <c r="B32" s="32">
        <v>2021</v>
      </c>
      <c r="C32" s="494" t="s">
        <v>282</v>
      </c>
      <c r="D32" s="259" cm="1">
        <f t="array" aca="1" ref="D32" ca="1">_xlfn.XLOOKUP(D$13,INDIRECT("'"&amp;$B32&amp;" EI'!$B$6:$B$53"),_xlfn.XLOOKUP($C$10,INDIRECT("'"&amp;$B32&amp;" EI'!$D$4:$Z$4"),INDIRECT("'"&amp;$B32&amp;" EI'!$D$6:$Z$53")))*_xlfn.XLOOKUP($B32&amp;D$15,'Gas Useage'!$A$4:$A$15&amp;'Gas Useage'!$B$4:$B$15,_xlfn.XLOOKUP($C32&amp;D$14,'Gas Useage'!$C$2:$AB$2&amp;'Gas Useage'!$C$3:$AB$3,'Gas Useage'!$C$4:$AB$15))/_xlfn.XLOOKUP($B32&amp;D$15,'Gas Useage'!$A$4:$A$15&amp;'Gas Useage'!$B$4:$B$15,_xlfn.XLOOKUP(D$14,'Gas Useage'!$AA$3:$AB$3,'Gas Useage'!$AA$4:$AB$15))</f>
        <v>3.6167652367334706E-2</v>
      </c>
      <c r="E32" s="259" cm="1">
        <f t="array" aca="1" ref="E32" ca="1">_xlfn.XLOOKUP(E$13,INDIRECT("'"&amp;$B32&amp;" EI'!$B$6:$B$53"),_xlfn.XLOOKUP($C$10,INDIRECT("'"&amp;$B32&amp;" EI'!$D$4:$Z$4"),INDIRECT("'"&amp;$B32&amp;" EI'!$D$6:$Z$53")))*_xlfn.XLOOKUP($B32&amp;E$15,'Gas Useage'!$A$4:$A$15&amp;'Gas Useage'!$B$4:$B$15,_xlfn.XLOOKUP($C32&amp;E$14,'Gas Useage'!$C$2:$AB$2&amp;'Gas Useage'!$C$3:$AB$3,'Gas Useage'!$C$4:$AB$15))/_xlfn.XLOOKUP($B32&amp;E$15,'Gas Useage'!$A$4:$A$15&amp;'Gas Useage'!$B$4:$B$15,_xlfn.XLOOKUP(E$14,'Gas Useage'!$AA$3:$AB$3,'Gas Useage'!$AA$4:$AB$15))</f>
        <v>1.7824501462292428E-3</v>
      </c>
      <c r="F32" s="259" cm="1">
        <f t="array" aca="1" ref="F32" ca="1">_xlfn.XLOOKUP(F$13,INDIRECT("'"&amp;$B32&amp;" EI'!$B$6:$B$53"),_xlfn.XLOOKUP($C$10,INDIRECT("'"&amp;$B32&amp;" EI'!$D$4:$Z$4"),INDIRECT("'"&amp;$B32&amp;" EI'!$D$6:$Z$53")))*_xlfn.XLOOKUP($B32&amp;F$15,'Gas Useage'!$A$4:$A$15&amp;'Gas Useage'!$B$4:$B$15,_xlfn.XLOOKUP($C32&amp;F$14,'Gas Useage'!$C$2:$AB$2&amp;'Gas Useage'!$C$3:$AB$3,'Gas Useage'!$C$4:$AB$15))/_xlfn.XLOOKUP($B32&amp;F$15,'Gas Useage'!$A$4:$A$15&amp;'Gas Useage'!$B$4:$B$15,_xlfn.XLOOKUP(F$14,'Gas Useage'!$AA$3:$AB$3,'Gas Useage'!$AA$4:$AB$15))</f>
        <v>6.977856150746363E-2</v>
      </c>
      <c r="G32" s="259" cm="1">
        <f t="array" aca="1" ref="G32" ca="1">_xlfn.XLOOKUP(G$13,INDIRECT("'"&amp;$B32&amp;" EI'!$B$6:$B$53"),_xlfn.XLOOKUP($C$10,INDIRECT("'"&amp;$B32&amp;" EI'!$D$4:$Z$4"),INDIRECT("'"&amp;$B32&amp;" EI'!$D$6:$Z$53")))*_xlfn.XLOOKUP($B32&amp;G$15,'Gas Useage'!$A$4:$A$15&amp;'Gas Useage'!$B$4:$B$15,_xlfn.XLOOKUP($C32&amp;G$14,'Gas Useage'!$C$2:$AB$2&amp;'Gas Useage'!$C$3:$AB$3,'Gas Useage'!$C$4:$AB$15))/_xlfn.XLOOKUP($B32&amp;G$15,'Gas Useage'!$A$4:$A$15&amp;'Gas Useage'!$B$4:$B$15,_xlfn.XLOOKUP(G$14,'Gas Useage'!$AA$3:$AB$3,'Gas Useage'!$AA$4:$AB$15))</f>
        <v>3.4388963347529102E-3</v>
      </c>
      <c r="H32" s="260" t="s">
        <v>278</v>
      </c>
      <c r="I32" s="260" t="s">
        <v>278</v>
      </c>
      <c r="J32" s="260" t="s">
        <v>278</v>
      </c>
      <c r="K32" s="261" t="s">
        <v>278</v>
      </c>
      <c r="N32" s="258"/>
    </row>
    <row r="33" spans="2:14" ht="13.5" x14ac:dyDescent="0.25">
      <c r="B33" s="32">
        <v>2021</v>
      </c>
      <c r="C33" s="494" t="s">
        <v>283</v>
      </c>
      <c r="D33" s="259" cm="1">
        <f t="array" aca="1" ref="D33" ca="1">_xlfn.XLOOKUP(D$13,INDIRECT("'"&amp;$B33&amp;" EI'!$B$6:$B$53"),_xlfn.XLOOKUP($C$10,INDIRECT("'"&amp;$B33&amp;" EI'!$D$4:$Z$4"),INDIRECT("'"&amp;$B33&amp;" EI'!$D$6:$Z$53")))*_xlfn.XLOOKUP($B33&amp;D$15,'Gas Useage'!$A$4:$A$15&amp;'Gas Useage'!$B$4:$B$15,_xlfn.XLOOKUP($C33&amp;D$14,'Gas Useage'!$C$2:$AB$2&amp;'Gas Useage'!$C$3:$AB$3,'Gas Useage'!$C$4:$AB$15))/_xlfn.XLOOKUP($B33&amp;D$15,'Gas Useage'!$A$4:$A$15&amp;'Gas Useage'!$B$4:$B$15,_xlfn.XLOOKUP(D$14,'Gas Useage'!$AA$3:$AB$3,'Gas Useage'!$AA$4:$AB$15))</f>
        <v>1.6416638253793393E-2</v>
      </c>
      <c r="E33" s="259" cm="1">
        <f t="array" aca="1" ref="E33" ca="1">_xlfn.XLOOKUP(E$13,INDIRECT("'"&amp;$B33&amp;" EI'!$B$6:$B$53"),_xlfn.XLOOKUP($C$10,INDIRECT("'"&amp;$B33&amp;" EI'!$D$4:$Z$4"),INDIRECT("'"&amp;$B33&amp;" EI'!$D$6:$Z$53")))*_xlfn.XLOOKUP($B33&amp;E$15,'Gas Useage'!$A$4:$A$15&amp;'Gas Useage'!$B$4:$B$15,_xlfn.XLOOKUP($C33&amp;E$14,'Gas Useage'!$C$2:$AB$2&amp;'Gas Useage'!$C$3:$AB$3,'Gas Useage'!$C$4:$AB$15))/_xlfn.XLOOKUP($B33&amp;E$15,'Gas Useage'!$A$4:$A$15&amp;'Gas Useage'!$B$4:$B$15,_xlfn.XLOOKUP(E$14,'Gas Useage'!$AA$3:$AB$3,'Gas Useage'!$AA$4:$AB$15))</f>
        <v>6.1447078430985208E-4</v>
      </c>
      <c r="F33" s="259" cm="1">
        <f t="array" aca="1" ref="F33" ca="1">_xlfn.XLOOKUP(F$13,INDIRECT("'"&amp;$B33&amp;" EI'!$B$6:$B$53"),_xlfn.XLOOKUP($C$10,INDIRECT("'"&amp;$B33&amp;" EI'!$D$4:$Z$4"),INDIRECT("'"&amp;$B33&amp;" EI'!$D$6:$Z$53")))*_xlfn.XLOOKUP($B33&amp;F$15,'Gas Useage'!$A$4:$A$15&amp;'Gas Useage'!$B$4:$B$15,_xlfn.XLOOKUP($C33&amp;F$14,'Gas Useage'!$C$2:$AB$2&amp;'Gas Useage'!$C$3:$AB$3,'Gas Useage'!$C$4:$AB$15))/_xlfn.XLOOKUP($B33&amp;F$15,'Gas Useage'!$A$4:$A$15&amp;'Gas Useage'!$B$4:$B$15,_xlfn.XLOOKUP(F$14,'Gas Useage'!$AA$3:$AB$3,'Gas Useage'!$AA$4:$AB$15))</f>
        <v>3.3258285619109415E-2</v>
      </c>
      <c r="G33" s="259" cm="1">
        <f t="array" aca="1" ref="G33" ca="1">_xlfn.XLOOKUP(G$13,INDIRECT("'"&amp;$B33&amp;" EI'!$B$6:$B$53"),_xlfn.XLOOKUP($C$10,INDIRECT("'"&amp;$B33&amp;" EI'!$D$4:$Z$4"),INDIRECT("'"&amp;$B33&amp;" EI'!$D$6:$Z$53")))*_xlfn.XLOOKUP($B33&amp;G$15,'Gas Useage'!$A$4:$A$15&amp;'Gas Useage'!$B$4:$B$15,_xlfn.XLOOKUP($C33&amp;G$14,'Gas Useage'!$C$2:$AB$2&amp;'Gas Useage'!$C$3:$AB$3,'Gas Useage'!$C$4:$AB$15))/_xlfn.XLOOKUP($B33&amp;G$15,'Gas Useage'!$A$4:$A$15&amp;'Gas Useage'!$B$4:$B$15,_xlfn.XLOOKUP(G$14,'Gas Useage'!$AA$3:$AB$3,'Gas Useage'!$AA$4:$AB$15))</f>
        <v>1.24484955648292E-3</v>
      </c>
      <c r="H33" s="260" t="s">
        <v>278</v>
      </c>
      <c r="I33" s="260" t="s">
        <v>278</v>
      </c>
      <c r="J33" s="260" t="s">
        <v>278</v>
      </c>
      <c r="K33" s="261" t="s">
        <v>278</v>
      </c>
      <c r="N33" s="258"/>
    </row>
    <row r="34" spans="2:14" ht="13.5" x14ac:dyDescent="0.25">
      <c r="B34" s="32">
        <v>2021</v>
      </c>
      <c r="C34" s="494" t="s">
        <v>284</v>
      </c>
      <c r="D34" s="259" cm="1">
        <f t="array" aca="1" ref="D34" ca="1">_xlfn.XLOOKUP(D$13,INDIRECT("'"&amp;$B34&amp;" EI'!$B$6:$B$53"),_xlfn.XLOOKUP($C$10,INDIRECT("'"&amp;$B34&amp;" EI'!$D$4:$Z$4"),INDIRECT("'"&amp;$B34&amp;" EI'!$D$6:$Z$53")))*_xlfn.XLOOKUP($B34&amp;D$15,'Gas Useage'!$A$4:$A$15&amp;'Gas Useage'!$B$4:$B$15,_xlfn.XLOOKUP($C34&amp;D$14,'Gas Useage'!$C$2:$AB$2&amp;'Gas Useage'!$C$3:$AB$3,'Gas Useage'!$C$4:$AB$15))/_xlfn.XLOOKUP($B34&amp;D$15,'Gas Useage'!$A$4:$A$15&amp;'Gas Useage'!$B$4:$B$15,_xlfn.XLOOKUP(D$14,'Gas Useage'!$AA$3:$AB$3,'Gas Useage'!$AA$4:$AB$15))</f>
        <v>3.6706409182330105E-2</v>
      </c>
      <c r="E34" s="259" cm="1">
        <f t="array" aca="1" ref="E34" ca="1">_xlfn.XLOOKUP(E$13,INDIRECT("'"&amp;$B34&amp;" EI'!$B$6:$B$53"),_xlfn.XLOOKUP($C$10,INDIRECT("'"&amp;$B34&amp;" EI'!$D$4:$Z$4"),INDIRECT("'"&amp;$B34&amp;" EI'!$D$6:$Z$53")))*_xlfn.XLOOKUP($B34&amp;E$15,'Gas Useage'!$A$4:$A$15&amp;'Gas Useage'!$B$4:$B$15,_xlfn.XLOOKUP($C34&amp;E$14,'Gas Useage'!$C$2:$AB$2&amp;'Gas Useage'!$C$3:$AB$3,'Gas Useage'!$C$4:$AB$15))/_xlfn.XLOOKUP($B34&amp;E$15,'Gas Useage'!$A$4:$A$15&amp;'Gas Useage'!$B$4:$B$15,_xlfn.XLOOKUP(E$14,'Gas Useage'!$AA$3:$AB$3,'Gas Useage'!$AA$4:$AB$15))</f>
        <v>1.033466906542887E-3</v>
      </c>
      <c r="F34" s="259" cm="1">
        <f t="array" aca="1" ref="F34" ca="1">_xlfn.XLOOKUP(F$13,INDIRECT("'"&amp;$B34&amp;" EI'!$B$6:$B$53"),_xlfn.XLOOKUP($C$10,INDIRECT("'"&amp;$B34&amp;" EI'!$D$4:$Z$4"),INDIRECT("'"&amp;$B34&amp;" EI'!$D$6:$Z$53")))*_xlfn.XLOOKUP($B34&amp;F$15,'Gas Useage'!$A$4:$A$15&amp;'Gas Useage'!$B$4:$B$15,_xlfn.XLOOKUP($C34&amp;F$14,'Gas Useage'!$C$2:$AB$2&amp;'Gas Useage'!$C$3:$AB$3,'Gas Useage'!$C$4:$AB$15))/_xlfn.XLOOKUP($B34&amp;F$15,'Gas Useage'!$A$4:$A$15&amp;'Gas Useage'!$B$4:$B$15,_xlfn.XLOOKUP(F$14,'Gas Useage'!$AA$3:$AB$3,'Gas Useage'!$AA$4:$AB$15))</f>
        <v>4.1008450746258938E-2</v>
      </c>
      <c r="G34" s="259" cm="1">
        <f t="array" aca="1" ref="G34" ca="1">_xlfn.XLOOKUP(G$13,INDIRECT("'"&amp;$B34&amp;" EI'!$B$6:$B$53"),_xlfn.XLOOKUP($C$10,INDIRECT("'"&amp;$B34&amp;" EI'!$D$4:$Z$4"),INDIRECT("'"&amp;$B34&amp;" EI'!$D$6:$Z$53")))*_xlfn.XLOOKUP($B34&amp;G$15,'Gas Useage'!$A$4:$A$15&amp;'Gas Useage'!$B$4:$B$15,_xlfn.XLOOKUP($C34&amp;G$14,'Gas Useage'!$C$2:$AB$2&amp;'Gas Useage'!$C$3:$AB$3,'Gas Useage'!$C$4:$AB$15))/_xlfn.XLOOKUP($B34&amp;G$15,'Gas Useage'!$A$4:$A$15&amp;'Gas Useage'!$B$4:$B$15,_xlfn.XLOOKUP(G$14,'Gas Useage'!$AA$3:$AB$3,'Gas Useage'!$AA$4:$AB$15))</f>
        <v>1.1545906472173819E-3</v>
      </c>
      <c r="H34" s="260" t="s">
        <v>278</v>
      </c>
      <c r="I34" s="260" t="s">
        <v>278</v>
      </c>
      <c r="J34" s="260" t="s">
        <v>278</v>
      </c>
      <c r="K34" s="261" t="s">
        <v>278</v>
      </c>
      <c r="N34" s="258"/>
    </row>
    <row r="35" spans="2:14" ht="13.5" x14ac:dyDescent="0.25">
      <c r="B35" s="32">
        <v>2021</v>
      </c>
      <c r="C35" s="494" t="s">
        <v>285</v>
      </c>
      <c r="D35" s="259" cm="1">
        <f t="array" aca="1" ref="D35" ca="1">_xlfn.XLOOKUP(D$13,INDIRECT("'"&amp;$B35&amp;" EI'!$B$6:$B$53"),_xlfn.XLOOKUP($C$10,INDIRECT("'"&amp;$B35&amp;" EI'!$D$4:$Z$4"),INDIRECT("'"&amp;$B35&amp;" EI'!$D$6:$Z$53")))*_xlfn.XLOOKUP($B35&amp;D$15,'Gas Useage'!$A$4:$A$15&amp;'Gas Useage'!$B$4:$B$15,_xlfn.XLOOKUP($C35&amp;D$14,'Gas Useage'!$C$2:$AB$2&amp;'Gas Useage'!$C$3:$AB$3,'Gas Useage'!$C$4:$AB$15))/_xlfn.XLOOKUP($B35&amp;D$15,'Gas Useage'!$A$4:$A$15&amp;'Gas Useage'!$B$4:$B$15,_xlfn.XLOOKUP(D$14,'Gas Useage'!$AA$3:$AB$3,'Gas Useage'!$AA$4:$AB$15))</f>
        <v>4.4253483092717323E-2</v>
      </c>
      <c r="E35" s="259" cm="1">
        <f t="array" aca="1" ref="E35" ca="1">_xlfn.XLOOKUP(E$13,INDIRECT("'"&amp;$B35&amp;" EI'!$B$6:$B$53"),_xlfn.XLOOKUP($C$10,INDIRECT("'"&amp;$B35&amp;" EI'!$D$4:$Z$4"),INDIRECT("'"&amp;$B35&amp;" EI'!$D$6:$Z$53")))*_xlfn.XLOOKUP($B35&amp;E$15,'Gas Useage'!$A$4:$A$15&amp;'Gas Useage'!$B$4:$B$15,_xlfn.XLOOKUP($C35&amp;E$14,'Gas Useage'!$C$2:$AB$2&amp;'Gas Useage'!$C$3:$AB$3,'Gas Useage'!$C$4:$AB$15))/_xlfn.XLOOKUP($B35&amp;E$15,'Gas Useage'!$A$4:$A$15&amp;'Gas Useage'!$B$4:$B$15,_xlfn.XLOOKUP(E$14,'Gas Useage'!$AA$3:$AB$3,'Gas Useage'!$AA$4:$AB$15))</f>
        <v>3.454870693217009E-3</v>
      </c>
      <c r="F35" s="259" cm="1">
        <f t="array" aca="1" ref="F35" ca="1">_xlfn.XLOOKUP(F$13,INDIRECT("'"&amp;$B35&amp;" EI'!$B$6:$B$53"),_xlfn.XLOOKUP($C$10,INDIRECT("'"&amp;$B35&amp;" EI'!$D$4:$Z$4"),INDIRECT("'"&amp;$B35&amp;" EI'!$D$6:$Z$53")))*_xlfn.XLOOKUP($B35&amp;F$15,'Gas Useage'!$A$4:$A$15&amp;'Gas Useage'!$B$4:$B$15,_xlfn.XLOOKUP($C35&amp;F$14,'Gas Useage'!$C$2:$AB$2&amp;'Gas Useage'!$C$3:$AB$3,'Gas Useage'!$C$4:$AB$15))/_xlfn.XLOOKUP($B35&amp;F$15,'Gas Useage'!$A$4:$A$15&amp;'Gas Useage'!$B$4:$B$15,_xlfn.XLOOKUP(F$14,'Gas Useage'!$AA$3:$AB$3,'Gas Useage'!$AA$4:$AB$15))</f>
        <v>3.7742316985969152E-2</v>
      </c>
      <c r="G35" s="259" cm="1">
        <f t="array" aca="1" ref="G35" ca="1">_xlfn.XLOOKUP(G$13,INDIRECT("'"&amp;$B35&amp;" EI'!$B$6:$B$53"),_xlfn.XLOOKUP($C$10,INDIRECT("'"&amp;$B35&amp;" EI'!$D$4:$Z$4"),INDIRECT("'"&amp;$B35&amp;" EI'!$D$6:$Z$53")))*_xlfn.XLOOKUP($B35&amp;G$15,'Gas Useage'!$A$4:$A$15&amp;'Gas Useage'!$B$4:$B$15,_xlfn.XLOOKUP($C35&amp;G$14,'Gas Useage'!$C$2:$AB$2&amp;'Gas Useage'!$C$3:$AB$3,'Gas Useage'!$C$4:$AB$15))/_xlfn.XLOOKUP($B35&amp;G$15,'Gas Useage'!$A$4:$A$15&amp;'Gas Useage'!$B$4:$B$15,_xlfn.XLOOKUP(G$14,'Gas Useage'!$AA$3:$AB$3,'Gas Useage'!$AA$4:$AB$15))</f>
        <v>2.9465437686732061E-3</v>
      </c>
      <c r="H35" s="260" t="s">
        <v>278</v>
      </c>
      <c r="I35" s="260" t="s">
        <v>278</v>
      </c>
      <c r="J35" s="260" t="s">
        <v>278</v>
      </c>
      <c r="K35" s="261" t="s">
        <v>278</v>
      </c>
      <c r="N35" s="258"/>
    </row>
    <row r="36" spans="2:14" ht="13.5" x14ac:dyDescent="0.25">
      <c r="B36" s="32">
        <v>2021</v>
      </c>
      <c r="C36" s="494" t="s">
        <v>286</v>
      </c>
      <c r="D36" s="259" cm="1">
        <f t="array" aca="1" ref="D36" ca="1">_xlfn.XLOOKUP(D$13,INDIRECT("'"&amp;$B36&amp;" EI'!$B$6:$B$53"),_xlfn.XLOOKUP($C$10,INDIRECT("'"&amp;$B36&amp;" EI'!$D$4:$Z$4"),INDIRECT("'"&amp;$B36&amp;" EI'!$D$6:$Z$53")))*_xlfn.XLOOKUP($B36&amp;D$15,'Gas Useage'!$A$4:$A$15&amp;'Gas Useage'!$B$4:$B$15,_xlfn.XLOOKUP($C36&amp;D$14,'Gas Useage'!$C$2:$AB$2&amp;'Gas Useage'!$C$3:$AB$3,'Gas Useage'!$C$4:$AB$15))/_xlfn.XLOOKUP($B36&amp;D$15,'Gas Useage'!$A$4:$A$15&amp;'Gas Useage'!$B$4:$B$15,_xlfn.XLOOKUP(D$14,'Gas Useage'!$AA$3:$AB$3,'Gas Useage'!$AA$4:$AB$15))</f>
        <v>2.6478322996083062E-2</v>
      </c>
      <c r="E36" s="259" cm="1">
        <f t="array" aca="1" ref="E36" ca="1">_xlfn.XLOOKUP(E$13,INDIRECT("'"&amp;$B36&amp;" EI'!$B$6:$B$53"),_xlfn.XLOOKUP($C$10,INDIRECT("'"&amp;$B36&amp;" EI'!$D$4:$Z$4"),INDIRECT("'"&amp;$B36&amp;" EI'!$D$6:$Z$53")))*_xlfn.XLOOKUP($B36&amp;E$15,'Gas Useage'!$A$4:$A$15&amp;'Gas Useage'!$B$4:$B$15,_xlfn.XLOOKUP($C36&amp;E$14,'Gas Useage'!$C$2:$AB$2&amp;'Gas Useage'!$C$3:$AB$3,'Gas Useage'!$C$4:$AB$15))/_xlfn.XLOOKUP($B36&amp;E$15,'Gas Useage'!$A$4:$A$15&amp;'Gas Useage'!$B$4:$B$15,_xlfn.XLOOKUP(E$14,'Gas Useage'!$AA$3:$AB$3,'Gas Useage'!$AA$4:$AB$15))</f>
        <v>1.8510958259372941E-3</v>
      </c>
      <c r="F36" s="259" cm="1">
        <f t="array" aca="1" ref="F36" ca="1">_xlfn.XLOOKUP(F$13,INDIRECT("'"&amp;$B36&amp;" EI'!$B$6:$B$53"),_xlfn.XLOOKUP($C$10,INDIRECT("'"&amp;$B36&amp;" EI'!$D$4:$Z$4"),INDIRECT("'"&amp;$B36&amp;" EI'!$D$6:$Z$53")))*_xlfn.XLOOKUP($B36&amp;F$15,'Gas Useage'!$A$4:$A$15&amp;'Gas Useage'!$B$4:$B$15,_xlfn.XLOOKUP($C36&amp;F$14,'Gas Useage'!$C$2:$AB$2&amp;'Gas Useage'!$C$3:$AB$3,'Gas Useage'!$C$4:$AB$15))/_xlfn.XLOOKUP($B36&amp;F$15,'Gas Useage'!$A$4:$A$15&amp;'Gas Useage'!$B$4:$B$15,_xlfn.XLOOKUP(F$14,'Gas Useage'!$AA$3:$AB$3,'Gas Useage'!$AA$4:$AB$15))</f>
        <v>2.1089053825732961E-2</v>
      </c>
      <c r="G36" s="259" cm="1">
        <f t="array" aca="1" ref="G36" ca="1">_xlfn.XLOOKUP(G$13,INDIRECT("'"&amp;$B36&amp;" EI'!$B$6:$B$53"),_xlfn.XLOOKUP($C$10,INDIRECT("'"&amp;$B36&amp;" EI'!$D$4:$Z$4"),INDIRECT("'"&amp;$B36&amp;" EI'!$D$6:$Z$53")))*_xlfn.XLOOKUP($B36&amp;G$15,'Gas Useage'!$A$4:$A$15&amp;'Gas Useage'!$B$4:$B$15,_xlfn.XLOOKUP($C36&amp;G$14,'Gas Useage'!$C$2:$AB$2&amp;'Gas Useage'!$C$3:$AB$3,'Gas Useage'!$C$4:$AB$15))/_xlfn.XLOOKUP($B36&amp;G$15,'Gas Useage'!$A$4:$A$15&amp;'Gas Useage'!$B$4:$B$15,_xlfn.XLOOKUP(G$14,'Gas Useage'!$AA$3:$AB$3,'Gas Useage'!$AA$4:$AB$15))</f>
        <v>1.4743327783846463E-3</v>
      </c>
      <c r="H36" s="260" t="s">
        <v>278</v>
      </c>
      <c r="I36" s="260" t="s">
        <v>278</v>
      </c>
      <c r="J36" s="260" t="s">
        <v>278</v>
      </c>
      <c r="K36" s="261" t="s">
        <v>278</v>
      </c>
      <c r="N36" s="258"/>
    </row>
    <row r="37" spans="2:14" ht="13.5" x14ac:dyDescent="0.25">
      <c r="B37" s="32">
        <v>2021</v>
      </c>
      <c r="C37" s="494" t="s">
        <v>287</v>
      </c>
      <c r="D37" s="259" cm="1">
        <f t="array" aca="1" ref="D37" ca="1">_xlfn.XLOOKUP(D$13,INDIRECT("'"&amp;$B37&amp;" EI'!$B$6:$B$53"),_xlfn.XLOOKUP($C$10,INDIRECT("'"&amp;$B37&amp;" EI'!$D$4:$Z$4"),INDIRECT("'"&amp;$B37&amp;" EI'!$D$6:$Z$53")))*_xlfn.XLOOKUP($B37&amp;D$15,'Gas Useage'!$A$4:$A$15&amp;'Gas Useage'!$B$4:$B$15,_xlfn.XLOOKUP($C37&amp;D$14,'Gas Useage'!$C$2:$AB$2&amp;'Gas Useage'!$C$3:$AB$3,'Gas Useage'!$C$4:$AB$15))/_xlfn.XLOOKUP($B37&amp;D$15,'Gas Useage'!$A$4:$A$15&amp;'Gas Useage'!$B$4:$B$15,_xlfn.XLOOKUP(D$14,'Gas Useage'!$AA$3:$AB$3,'Gas Useage'!$AA$4:$AB$15))</f>
        <v>2.8292400528879828E-2</v>
      </c>
      <c r="E37" s="259" cm="1">
        <f t="array" aca="1" ref="E37" ca="1">_xlfn.XLOOKUP(E$13,INDIRECT("'"&amp;$B37&amp;" EI'!$B$6:$B$53"),_xlfn.XLOOKUP($C$10,INDIRECT("'"&amp;$B37&amp;" EI'!$D$4:$Z$4"),INDIRECT("'"&amp;$B37&amp;" EI'!$D$6:$Z$53")))*_xlfn.XLOOKUP($B37&amp;E$15,'Gas Useage'!$A$4:$A$15&amp;'Gas Useage'!$B$4:$B$15,_xlfn.XLOOKUP($C37&amp;E$14,'Gas Useage'!$C$2:$AB$2&amp;'Gas Useage'!$C$3:$AB$3,'Gas Useage'!$C$4:$AB$15))/_xlfn.XLOOKUP($B37&amp;E$15,'Gas Useage'!$A$4:$A$15&amp;'Gas Useage'!$B$4:$B$15,_xlfn.XLOOKUP(E$14,'Gas Useage'!$AA$3:$AB$3,'Gas Useage'!$AA$4:$AB$15))</f>
        <v>1.7648343377177187E-3</v>
      </c>
      <c r="F37" s="259" cm="1">
        <f t="array" aca="1" ref="F37" ca="1">_xlfn.XLOOKUP(F$13,INDIRECT("'"&amp;$B37&amp;" EI'!$B$6:$B$53"),_xlfn.XLOOKUP($C$10,INDIRECT("'"&amp;$B37&amp;" EI'!$D$4:$Z$4"),INDIRECT("'"&amp;$B37&amp;" EI'!$D$6:$Z$53")))*_xlfn.XLOOKUP($B37&amp;F$15,'Gas Useage'!$A$4:$A$15&amp;'Gas Useage'!$B$4:$B$15,_xlfn.XLOOKUP($C37&amp;F$14,'Gas Useage'!$C$2:$AB$2&amp;'Gas Useage'!$C$3:$AB$3,'Gas Useage'!$C$4:$AB$15))/_xlfn.XLOOKUP($B37&amp;F$15,'Gas Useage'!$A$4:$A$15&amp;'Gas Useage'!$B$4:$B$15,_xlfn.XLOOKUP(F$14,'Gas Useage'!$AA$3:$AB$3,'Gas Useage'!$AA$4:$AB$15))</f>
        <v>2.304033059644689E-2</v>
      </c>
      <c r="G37" s="259" cm="1">
        <f t="array" aca="1" ref="G37" ca="1">_xlfn.XLOOKUP(G$13,INDIRECT("'"&amp;$B37&amp;" EI'!$B$6:$B$53"),_xlfn.XLOOKUP($C$10,INDIRECT("'"&amp;$B37&amp;" EI'!$D$4:$Z$4"),INDIRECT("'"&amp;$B37&amp;" EI'!$D$6:$Z$53")))*_xlfn.XLOOKUP($B37&amp;G$15,'Gas Useage'!$A$4:$A$15&amp;'Gas Useage'!$B$4:$B$15,_xlfn.XLOOKUP($C37&amp;G$14,'Gas Useage'!$C$2:$AB$2&amp;'Gas Useage'!$C$3:$AB$3,'Gas Useage'!$C$4:$AB$15))/_xlfn.XLOOKUP($B37&amp;G$15,'Gas Useage'!$A$4:$A$15&amp;'Gas Useage'!$B$4:$B$15,_xlfn.XLOOKUP(G$14,'Gas Useage'!$AA$3:$AB$3,'Gas Useage'!$AA$4:$AB$15))</f>
        <v>1.4372186816552031E-3</v>
      </c>
      <c r="H37" s="260" t="s">
        <v>278</v>
      </c>
      <c r="I37" s="260" t="s">
        <v>278</v>
      </c>
      <c r="J37" s="260" t="s">
        <v>278</v>
      </c>
      <c r="K37" s="261" t="s">
        <v>278</v>
      </c>
      <c r="N37" s="258"/>
    </row>
    <row r="38" spans="2:14" ht="13.5" x14ac:dyDescent="0.25">
      <c r="B38" s="32">
        <v>2021</v>
      </c>
      <c r="C38" s="494" t="s">
        <v>288</v>
      </c>
      <c r="D38" s="259" cm="1">
        <f t="array" aca="1" ref="D38" ca="1">_xlfn.XLOOKUP(D$13,INDIRECT("'"&amp;$B38&amp;" EI'!$B$6:$B$53"),_xlfn.XLOOKUP($C$10,INDIRECT("'"&amp;$B38&amp;" EI'!$D$4:$Z$4"),INDIRECT("'"&amp;$B38&amp;" EI'!$D$6:$Z$53")))*_xlfn.XLOOKUP($B38&amp;D$15,'Gas Useage'!$A$4:$A$15&amp;'Gas Useage'!$B$4:$B$15,_xlfn.XLOOKUP($C38&amp;D$14,'Gas Useage'!$C$2:$AB$2&amp;'Gas Useage'!$C$3:$AB$3,'Gas Useage'!$C$4:$AB$15))/_xlfn.XLOOKUP($B38&amp;D$15,'Gas Useage'!$A$4:$A$15&amp;'Gas Useage'!$B$4:$B$15,_xlfn.XLOOKUP(D$14,'Gas Useage'!$AA$3:$AB$3,'Gas Useage'!$AA$4:$AB$15))</f>
        <v>8.9146250094847168E-2</v>
      </c>
      <c r="E38" s="259" cm="1">
        <f t="array" aca="1" ref="E38" ca="1">_xlfn.XLOOKUP(E$13,INDIRECT("'"&amp;$B38&amp;" EI'!$B$6:$B$53"),_xlfn.XLOOKUP($C$10,INDIRECT("'"&amp;$B38&amp;" EI'!$D$4:$Z$4"),INDIRECT("'"&amp;$B38&amp;" EI'!$D$6:$Z$53")))*_xlfn.XLOOKUP($B38&amp;E$15,'Gas Useage'!$A$4:$A$15&amp;'Gas Useage'!$B$4:$B$15,_xlfn.XLOOKUP($C38&amp;E$14,'Gas Useage'!$C$2:$AB$2&amp;'Gas Useage'!$C$3:$AB$3,'Gas Useage'!$C$4:$AB$15))/_xlfn.XLOOKUP($B38&amp;E$15,'Gas Useage'!$A$4:$A$15&amp;'Gas Useage'!$B$4:$B$15,_xlfn.XLOOKUP(E$14,'Gas Useage'!$AA$3:$AB$3,'Gas Useage'!$AA$4:$AB$15))</f>
        <v>8.3561365270894885E-3</v>
      </c>
      <c r="F38" s="259" cm="1">
        <f t="array" aca="1" ref="F38" ca="1">_xlfn.XLOOKUP(F$13,INDIRECT("'"&amp;$B38&amp;" EI'!$B$6:$B$53"),_xlfn.XLOOKUP($C$10,INDIRECT("'"&amp;$B38&amp;" EI'!$D$4:$Z$4"),INDIRECT("'"&amp;$B38&amp;" EI'!$D$6:$Z$53")))*_xlfn.XLOOKUP($B38&amp;F$15,'Gas Useage'!$A$4:$A$15&amp;'Gas Useage'!$B$4:$B$15,_xlfn.XLOOKUP($C38&amp;F$14,'Gas Useage'!$C$2:$AB$2&amp;'Gas Useage'!$C$3:$AB$3,'Gas Useage'!$C$4:$AB$15))/_xlfn.XLOOKUP($B38&amp;F$15,'Gas Useage'!$A$4:$A$15&amp;'Gas Useage'!$B$4:$B$15,_xlfn.XLOOKUP(F$14,'Gas Useage'!$AA$3:$AB$3,'Gas Useage'!$AA$4:$AB$15))</f>
        <v>8.1234980847641539E-2</v>
      </c>
      <c r="G38" s="259" cm="1">
        <f t="array" aca="1" ref="G38" ca="1">_xlfn.XLOOKUP(G$13,INDIRECT("'"&amp;$B38&amp;" EI'!$B$6:$B$53"),_xlfn.XLOOKUP($C$10,INDIRECT("'"&amp;$B38&amp;" EI'!$D$4:$Z$4"),INDIRECT("'"&amp;$B38&amp;" EI'!$D$6:$Z$53")))*_xlfn.XLOOKUP($B38&amp;G$15,'Gas Useage'!$A$4:$A$15&amp;'Gas Useage'!$B$4:$B$15,_xlfn.XLOOKUP($C38&amp;G$14,'Gas Useage'!$C$2:$AB$2&amp;'Gas Useage'!$C$3:$AB$3,'Gas Useage'!$C$4:$AB$15))/_xlfn.XLOOKUP($B38&amp;G$15,'Gas Useage'!$A$4:$A$15&amp;'Gas Useage'!$B$4:$B$15,_xlfn.XLOOKUP(G$14,'Gas Useage'!$AA$3:$AB$3,'Gas Useage'!$AA$4:$AB$15))</f>
        <v>7.6145725705363031E-3</v>
      </c>
      <c r="H38" s="260" t="s">
        <v>278</v>
      </c>
      <c r="I38" s="260" t="s">
        <v>278</v>
      </c>
      <c r="J38" s="260" t="s">
        <v>278</v>
      </c>
      <c r="K38" s="261" t="s">
        <v>278</v>
      </c>
      <c r="N38" s="258"/>
    </row>
    <row r="39" spans="2:14" ht="13.5" x14ac:dyDescent="0.25">
      <c r="B39" s="32">
        <v>2021</v>
      </c>
      <c r="C39" s="494" t="s">
        <v>289</v>
      </c>
      <c r="D39" s="259" cm="1">
        <f t="array" aca="1" ref="D39" ca="1">_xlfn.XLOOKUP(D$13,INDIRECT("'"&amp;$B39&amp;" EI'!$B$6:$B$53"),_xlfn.XLOOKUP($C$10,INDIRECT("'"&amp;$B39&amp;" EI'!$D$4:$Z$4"),INDIRECT("'"&amp;$B39&amp;" EI'!$D$6:$Z$53")))*_xlfn.XLOOKUP($B39&amp;D$15,'Gas Useage'!$A$4:$A$15&amp;'Gas Useage'!$B$4:$B$15,_xlfn.XLOOKUP($C39&amp;D$14,'Gas Useage'!$C$2:$AB$2&amp;'Gas Useage'!$C$3:$AB$3,'Gas Useage'!$C$4:$AB$15))/_xlfn.XLOOKUP($B39&amp;D$15,'Gas Useage'!$A$4:$A$15&amp;'Gas Useage'!$B$4:$B$15,_xlfn.XLOOKUP(D$14,'Gas Useage'!$AA$3:$AB$3,'Gas Useage'!$AA$4:$AB$15))</f>
        <v>5.3476969002340717E-2</v>
      </c>
      <c r="E39" s="259" cm="1">
        <f t="array" aca="1" ref="E39" ca="1">_xlfn.XLOOKUP(E$13,INDIRECT("'"&amp;$B39&amp;" EI'!$B$6:$B$53"),_xlfn.XLOOKUP($C$10,INDIRECT("'"&amp;$B39&amp;" EI'!$D$4:$Z$4"),INDIRECT("'"&amp;$B39&amp;" EI'!$D$6:$Z$53")))*_xlfn.XLOOKUP($B39&amp;E$15,'Gas Useage'!$A$4:$A$15&amp;'Gas Useage'!$B$4:$B$15,_xlfn.XLOOKUP($C39&amp;E$14,'Gas Useage'!$C$2:$AB$2&amp;'Gas Useage'!$C$3:$AB$3,'Gas Useage'!$C$4:$AB$15))/_xlfn.XLOOKUP($B39&amp;E$15,'Gas Useage'!$A$4:$A$15&amp;'Gas Useage'!$B$4:$B$15,_xlfn.XLOOKUP(E$14,'Gas Useage'!$AA$3:$AB$3,'Gas Useage'!$AA$4:$AB$15))</f>
        <v>4.7957251362772254E-3</v>
      </c>
      <c r="F39" s="259" cm="1">
        <f t="array" aca="1" ref="F39" ca="1">_xlfn.XLOOKUP(F$13,INDIRECT("'"&amp;$B39&amp;" EI'!$B$6:$B$53"),_xlfn.XLOOKUP($C$10,INDIRECT("'"&amp;$B39&amp;" EI'!$D$4:$Z$4"),INDIRECT("'"&amp;$B39&amp;" EI'!$D$6:$Z$53")))*_xlfn.XLOOKUP($B39&amp;F$15,'Gas Useage'!$A$4:$A$15&amp;'Gas Useage'!$B$4:$B$15,_xlfn.XLOOKUP($C39&amp;F$14,'Gas Useage'!$C$2:$AB$2&amp;'Gas Useage'!$C$3:$AB$3,'Gas Useage'!$C$4:$AB$15))/_xlfn.XLOOKUP($B39&amp;F$15,'Gas Useage'!$A$4:$A$15&amp;'Gas Useage'!$B$4:$B$15,_xlfn.XLOOKUP(F$14,'Gas Useage'!$AA$3:$AB$3,'Gas Useage'!$AA$4:$AB$15))</f>
        <v>5.1942479217481602E-2</v>
      </c>
      <c r="G39" s="259" cm="1">
        <f t="array" aca="1" ref="G39" ca="1">_xlfn.XLOOKUP(G$13,INDIRECT("'"&amp;$B39&amp;" EI'!$B$6:$B$53"),_xlfn.XLOOKUP($C$10,INDIRECT("'"&amp;$B39&amp;" EI'!$D$4:$Z$4"),INDIRECT("'"&amp;$B39&amp;" EI'!$D$6:$Z$53")))*_xlfn.XLOOKUP($B39&amp;G$15,'Gas Useage'!$A$4:$A$15&amp;'Gas Useage'!$B$4:$B$15,_xlfn.XLOOKUP($C39&amp;G$14,'Gas Useage'!$C$2:$AB$2&amp;'Gas Useage'!$C$3:$AB$3,'Gas Useage'!$C$4:$AB$15))/_xlfn.XLOOKUP($B39&amp;G$15,'Gas Useage'!$A$4:$A$15&amp;'Gas Useage'!$B$4:$B$15,_xlfn.XLOOKUP(G$14,'Gas Useage'!$AA$3:$AB$3,'Gas Useage'!$AA$4:$AB$15))</f>
        <v>4.6581146589091561E-3</v>
      </c>
      <c r="H39" s="260" t="s">
        <v>278</v>
      </c>
      <c r="I39" s="260" t="s">
        <v>278</v>
      </c>
      <c r="J39" s="260" t="s">
        <v>278</v>
      </c>
      <c r="K39" s="261" t="s">
        <v>278</v>
      </c>
      <c r="N39" s="258"/>
    </row>
    <row r="40" spans="2:14" ht="13.5" x14ac:dyDescent="0.25">
      <c r="B40" s="32">
        <v>2022</v>
      </c>
      <c r="C40" s="494" t="s">
        <v>277</v>
      </c>
      <c r="D40" s="259" cm="1">
        <f t="array" aca="1" ref="D40" ca="1">_xlfn.XLOOKUP(D$13,INDIRECT("'"&amp;$B40&amp;" EI'!$B$6:$B$53"),_xlfn.XLOOKUP($C$10,INDIRECT("'"&amp;$B40&amp;" EI'!$D$4:$Z$4"),INDIRECT("'"&amp;$B40&amp;" EI'!$D$6:$Z$53")))*_xlfn.XLOOKUP($B40&amp;D$15,'Gas Useage'!$A$4:$A$15&amp;'Gas Useage'!$B$4:$B$15,_xlfn.XLOOKUP($C40&amp;D$14,'Gas Useage'!$C$2:$AB$2&amp;'Gas Useage'!$C$3:$AB$3,'Gas Useage'!$C$4:$AB$15))/_xlfn.XLOOKUP($B40&amp;D$15,'Gas Useage'!$A$4:$A$15&amp;'Gas Useage'!$B$4:$B$15,_xlfn.XLOOKUP(D$14,'Gas Useage'!$AA$3:$AB$3,'Gas Useage'!$AA$4:$AB$15))</f>
        <v>5.7073490442079718E-2</v>
      </c>
      <c r="E40" s="259" cm="1">
        <f t="array" aca="1" ref="E40" ca="1">_xlfn.XLOOKUP(E$13,INDIRECT("'"&amp;$B40&amp;" EI'!$B$6:$B$53"),_xlfn.XLOOKUP($C$10,INDIRECT("'"&amp;$B40&amp;" EI'!$D$4:$Z$4"),INDIRECT("'"&amp;$B40&amp;" EI'!$D$6:$Z$53")))*_xlfn.XLOOKUP($B40&amp;E$15,'Gas Useage'!$A$4:$A$15&amp;'Gas Useage'!$B$4:$B$15,_xlfn.XLOOKUP($C40&amp;E$14,'Gas Useage'!$C$2:$AB$2&amp;'Gas Useage'!$C$3:$AB$3,'Gas Useage'!$C$4:$AB$15))/_xlfn.XLOOKUP($B40&amp;E$15,'Gas Useage'!$A$4:$A$15&amp;'Gas Useage'!$B$4:$B$15,_xlfn.XLOOKUP(E$14,'Gas Useage'!$AA$3:$AB$3,'Gas Useage'!$AA$4:$AB$15))</f>
        <v>6.7931315536343484E-3</v>
      </c>
      <c r="F40" s="259" cm="1">
        <f t="array" aca="1" ref="F40" ca="1">_xlfn.XLOOKUP(F$13,INDIRECT("'"&amp;$B40&amp;" EI'!$B$6:$B$53"),_xlfn.XLOOKUP($C$10,INDIRECT("'"&amp;$B40&amp;" EI'!$D$4:$Z$4"),INDIRECT("'"&amp;$B40&amp;" EI'!$D$6:$Z$53")))*_xlfn.XLOOKUP($B40&amp;F$15,'Gas Useage'!$A$4:$A$15&amp;'Gas Useage'!$B$4:$B$15,_xlfn.XLOOKUP($C40&amp;F$14,'Gas Useage'!$C$2:$AB$2&amp;'Gas Useage'!$C$3:$AB$3,'Gas Useage'!$C$4:$AB$15))/_xlfn.XLOOKUP($B40&amp;F$15,'Gas Useage'!$A$4:$A$15&amp;'Gas Useage'!$B$4:$B$15,_xlfn.XLOOKUP(F$14,'Gas Useage'!$AA$3:$AB$3,'Gas Useage'!$AA$4:$AB$15))</f>
        <v>5.0748358171069131E-2</v>
      </c>
      <c r="G40" s="259" cm="1">
        <f t="array" aca="1" ref="G40" ca="1">_xlfn.XLOOKUP(G$13,INDIRECT("'"&amp;$B40&amp;" EI'!$B$6:$B$53"),_xlfn.XLOOKUP($C$10,INDIRECT("'"&amp;$B40&amp;" EI'!$D$4:$Z$4"),INDIRECT("'"&amp;$B40&amp;" EI'!$D$6:$Z$53")))*_xlfn.XLOOKUP($B40&amp;G$15,'Gas Useage'!$A$4:$A$15&amp;'Gas Useage'!$B$4:$B$15,_xlfn.XLOOKUP($C40&amp;G$14,'Gas Useage'!$C$2:$AB$2&amp;'Gas Useage'!$C$3:$AB$3,'Gas Useage'!$C$4:$AB$15))/_xlfn.XLOOKUP($B40&amp;G$15,'Gas Useage'!$A$4:$A$15&amp;'Gas Useage'!$B$4:$B$15,_xlfn.XLOOKUP(G$14,'Gas Useage'!$AA$3:$AB$3,'Gas Useage'!$AA$4:$AB$15))</f>
        <v>6.0402871896696481E-3</v>
      </c>
      <c r="H40" s="260" t="s">
        <v>278</v>
      </c>
      <c r="I40" s="260" t="s">
        <v>278</v>
      </c>
      <c r="J40" s="260" t="s">
        <v>278</v>
      </c>
      <c r="K40" s="261" t="s">
        <v>278</v>
      </c>
      <c r="N40" s="258"/>
    </row>
    <row r="41" spans="2:14" ht="13.5" x14ac:dyDescent="0.25">
      <c r="B41" s="32">
        <v>2022</v>
      </c>
      <c r="C41" s="494" t="s">
        <v>279</v>
      </c>
      <c r="D41" s="259" cm="1">
        <f t="array" aca="1" ref="D41" ca="1">_xlfn.XLOOKUP(D$13,INDIRECT("'"&amp;$B41&amp;" EI'!$B$6:$B$53"),_xlfn.XLOOKUP($C$10,INDIRECT("'"&amp;$B41&amp;" EI'!$D$4:$Z$4"),INDIRECT("'"&amp;$B41&amp;" EI'!$D$6:$Z$53")))*_xlfn.XLOOKUP($B41&amp;D$15,'Gas Useage'!$A$4:$A$15&amp;'Gas Useage'!$B$4:$B$15,_xlfn.XLOOKUP($C41&amp;D$14,'Gas Useage'!$C$2:$AB$2&amp;'Gas Useage'!$C$3:$AB$3,'Gas Useage'!$C$4:$AB$15))/_xlfn.XLOOKUP($B41&amp;D$15,'Gas Useage'!$A$4:$A$15&amp;'Gas Useage'!$B$4:$B$15,_xlfn.XLOOKUP(D$14,'Gas Useage'!$AA$3:$AB$3,'Gas Useage'!$AA$4:$AB$15))</f>
        <v>5.4405033972597432E-2</v>
      </c>
      <c r="E41" s="259" cm="1">
        <f t="array" aca="1" ref="E41" ca="1">_xlfn.XLOOKUP(E$13,INDIRECT("'"&amp;$B41&amp;" EI'!$B$6:$B$53"),_xlfn.XLOOKUP($C$10,INDIRECT("'"&amp;$B41&amp;" EI'!$D$4:$Z$4"),INDIRECT("'"&amp;$B41&amp;" EI'!$D$6:$Z$53")))*_xlfn.XLOOKUP($B41&amp;E$15,'Gas Useage'!$A$4:$A$15&amp;'Gas Useage'!$B$4:$B$15,_xlfn.XLOOKUP($C41&amp;E$14,'Gas Useage'!$C$2:$AB$2&amp;'Gas Useage'!$C$3:$AB$3,'Gas Useage'!$C$4:$AB$15))/_xlfn.XLOOKUP($B41&amp;E$15,'Gas Useage'!$A$4:$A$15&amp;'Gas Useage'!$B$4:$B$15,_xlfn.XLOOKUP(E$14,'Gas Useage'!$AA$3:$AB$3,'Gas Useage'!$AA$4:$AB$15))</f>
        <v>5.7937278241158331E-3</v>
      </c>
      <c r="F41" s="259" cm="1">
        <f t="array" aca="1" ref="F41" ca="1">_xlfn.XLOOKUP(F$13,INDIRECT("'"&amp;$B41&amp;" EI'!$B$6:$B$53"),_xlfn.XLOOKUP($C$10,INDIRECT("'"&amp;$B41&amp;" EI'!$D$4:$Z$4"),INDIRECT("'"&amp;$B41&amp;" EI'!$D$6:$Z$53")))*_xlfn.XLOOKUP($B41&amp;F$15,'Gas Useage'!$A$4:$A$15&amp;'Gas Useage'!$B$4:$B$15,_xlfn.XLOOKUP($C41&amp;F$14,'Gas Useage'!$C$2:$AB$2&amp;'Gas Useage'!$C$3:$AB$3,'Gas Useage'!$C$4:$AB$15))/_xlfn.XLOOKUP($B41&amp;F$15,'Gas Useage'!$A$4:$A$15&amp;'Gas Useage'!$B$4:$B$15,_xlfn.XLOOKUP(F$14,'Gas Useage'!$AA$3:$AB$3,'Gas Useage'!$AA$4:$AB$15))</f>
        <v>3.648479314646072E-2</v>
      </c>
      <c r="G41" s="259" cm="1">
        <f t="array" aca="1" ref="G41" ca="1">_xlfn.XLOOKUP(G$13,INDIRECT("'"&amp;$B41&amp;" EI'!$B$6:$B$53"),_xlfn.XLOOKUP($C$10,INDIRECT("'"&amp;$B41&amp;" EI'!$D$4:$Z$4"),INDIRECT("'"&amp;$B41&amp;" EI'!$D$6:$Z$53")))*_xlfn.XLOOKUP($B41&amp;G$15,'Gas Useage'!$A$4:$A$15&amp;'Gas Useage'!$B$4:$B$15,_xlfn.XLOOKUP($C41&amp;G$14,'Gas Useage'!$C$2:$AB$2&amp;'Gas Useage'!$C$3:$AB$3,'Gas Useage'!$C$4:$AB$15))/_xlfn.XLOOKUP($B41&amp;G$15,'Gas Useage'!$A$4:$A$15&amp;'Gas Useage'!$B$4:$B$15,_xlfn.XLOOKUP(G$14,'Gas Useage'!$AA$3:$AB$3,'Gas Useage'!$AA$4:$AB$15))</f>
        <v>3.8853566623307119E-3</v>
      </c>
      <c r="H41" s="260" t="s">
        <v>278</v>
      </c>
      <c r="I41" s="260" t="s">
        <v>278</v>
      </c>
      <c r="J41" s="260" t="s">
        <v>278</v>
      </c>
      <c r="K41" s="261" t="s">
        <v>278</v>
      </c>
      <c r="N41" s="258"/>
    </row>
    <row r="42" spans="2:14" ht="13.5" x14ac:dyDescent="0.25">
      <c r="B42" s="32">
        <v>2022</v>
      </c>
      <c r="C42" s="494" t="s">
        <v>280</v>
      </c>
      <c r="D42" s="259" cm="1">
        <f t="array" aca="1" ref="D42" ca="1">_xlfn.XLOOKUP(D$13,INDIRECT("'"&amp;$B42&amp;" EI'!$B$6:$B$53"),_xlfn.XLOOKUP($C$10,INDIRECT("'"&amp;$B42&amp;" EI'!$D$4:$Z$4"),INDIRECT("'"&amp;$B42&amp;" EI'!$D$6:$Z$53")))*_xlfn.XLOOKUP($B42&amp;D$15,'Gas Useage'!$A$4:$A$15&amp;'Gas Useage'!$B$4:$B$15,_xlfn.XLOOKUP($C42&amp;D$14,'Gas Useage'!$C$2:$AB$2&amp;'Gas Useage'!$C$3:$AB$3,'Gas Useage'!$C$4:$AB$15))/_xlfn.XLOOKUP($B42&amp;D$15,'Gas Useage'!$A$4:$A$15&amp;'Gas Useage'!$B$4:$B$15,_xlfn.XLOOKUP(D$14,'Gas Useage'!$AA$3:$AB$3,'Gas Useage'!$AA$4:$AB$15))</f>
        <v>6.3043513850100846E-2</v>
      </c>
      <c r="E42" s="259" cm="1">
        <f t="array" aca="1" ref="E42" ca="1">_xlfn.XLOOKUP(E$13,INDIRECT("'"&amp;$B42&amp;" EI'!$B$6:$B$53"),_xlfn.XLOOKUP($C$10,INDIRECT("'"&amp;$B42&amp;" EI'!$D$4:$Z$4"),INDIRECT("'"&amp;$B42&amp;" EI'!$D$6:$Z$53")))*_xlfn.XLOOKUP($B42&amp;E$15,'Gas Useage'!$A$4:$A$15&amp;'Gas Useage'!$B$4:$B$15,_xlfn.XLOOKUP($C42&amp;E$14,'Gas Useage'!$C$2:$AB$2&amp;'Gas Useage'!$C$3:$AB$3,'Gas Useage'!$C$4:$AB$15))/_xlfn.XLOOKUP($B42&amp;E$15,'Gas Useage'!$A$4:$A$15&amp;'Gas Useage'!$B$4:$B$15,_xlfn.XLOOKUP(E$14,'Gas Useage'!$AA$3:$AB$3,'Gas Useage'!$AA$4:$AB$15))</f>
        <v>6.0097440958946976E-3</v>
      </c>
      <c r="F42" s="259" cm="1">
        <f t="array" aca="1" ref="F42" ca="1">_xlfn.XLOOKUP(F$13,INDIRECT("'"&amp;$B42&amp;" EI'!$B$6:$B$53"),_xlfn.XLOOKUP($C$10,INDIRECT("'"&amp;$B42&amp;" EI'!$D$4:$Z$4"),INDIRECT("'"&amp;$B42&amp;" EI'!$D$6:$Z$53")))*_xlfn.XLOOKUP($B42&amp;F$15,'Gas Useage'!$A$4:$A$15&amp;'Gas Useage'!$B$4:$B$15,_xlfn.XLOOKUP($C42&amp;F$14,'Gas Useage'!$C$2:$AB$2&amp;'Gas Useage'!$C$3:$AB$3,'Gas Useage'!$C$4:$AB$15))/_xlfn.XLOOKUP($B42&amp;F$15,'Gas Useage'!$A$4:$A$15&amp;'Gas Useage'!$B$4:$B$15,_xlfn.XLOOKUP(F$14,'Gas Useage'!$AA$3:$AB$3,'Gas Useage'!$AA$4:$AB$15))</f>
        <v>2.986801261187965E-2</v>
      </c>
      <c r="G42" s="259" cm="1">
        <f t="array" aca="1" ref="G42" ca="1">_xlfn.XLOOKUP(G$13,INDIRECT("'"&amp;$B42&amp;" EI'!$B$6:$B$53"),_xlfn.XLOOKUP($C$10,INDIRECT("'"&amp;$B42&amp;" EI'!$D$4:$Z$4"),INDIRECT("'"&amp;$B42&amp;" EI'!$D$6:$Z$53")))*_xlfn.XLOOKUP($B42&amp;G$15,'Gas Useage'!$A$4:$A$15&amp;'Gas Useage'!$B$4:$B$15,_xlfn.XLOOKUP($C42&amp;G$14,'Gas Useage'!$C$2:$AB$2&amp;'Gas Useage'!$C$3:$AB$3,'Gas Useage'!$C$4:$AB$15))/_xlfn.XLOOKUP($B42&amp;G$15,'Gas Useage'!$A$4:$A$15&amp;'Gas Useage'!$B$4:$B$15,_xlfn.XLOOKUP(G$14,'Gas Useage'!$AA$3:$AB$3,'Gas Useage'!$AA$4:$AB$15))</f>
        <v>2.8472256936240702E-3</v>
      </c>
      <c r="H42" s="260" t="s">
        <v>278</v>
      </c>
      <c r="I42" s="260" t="s">
        <v>278</v>
      </c>
      <c r="J42" s="260" t="s">
        <v>278</v>
      </c>
      <c r="K42" s="261" t="s">
        <v>278</v>
      </c>
      <c r="N42" s="258"/>
    </row>
    <row r="43" spans="2:14" ht="13.5" x14ac:dyDescent="0.25">
      <c r="B43" s="32">
        <v>2022</v>
      </c>
      <c r="C43" s="494" t="s">
        <v>281</v>
      </c>
      <c r="D43" s="259" cm="1">
        <f t="array" aca="1" ref="D43" ca="1">_xlfn.XLOOKUP(D$13,INDIRECT("'"&amp;$B43&amp;" EI'!$B$6:$B$53"),_xlfn.XLOOKUP($C$10,INDIRECT("'"&amp;$B43&amp;" EI'!$D$4:$Z$4"),INDIRECT("'"&amp;$B43&amp;" EI'!$D$6:$Z$53")))*_xlfn.XLOOKUP($B43&amp;D$15,'Gas Useage'!$A$4:$A$15&amp;'Gas Useage'!$B$4:$B$15,_xlfn.XLOOKUP($C43&amp;D$14,'Gas Useage'!$C$2:$AB$2&amp;'Gas Useage'!$C$3:$AB$3,'Gas Useage'!$C$4:$AB$15))/_xlfn.XLOOKUP($B43&amp;D$15,'Gas Useage'!$A$4:$A$15&amp;'Gas Useage'!$B$4:$B$15,_xlfn.XLOOKUP(D$14,'Gas Useage'!$AA$3:$AB$3,'Gas Useage'!$AA$4:$AB$15))</f>
        <v>6.4630267849616341E-2</v>
      </c>
      <c r="E43" s="259" cm="1">
        <f t="array" aca="1" ref="E43" ca="1">_xlfn.XLOOKUP(E$13,INDIRECT("'"&amp;$B43&amp;" EI'!$B$6:$B$53"),_xlfn.XLOOKUP($C$10,INDIRECT("'"&amp;$B43&amp;" EI'!$D$4:$Z$4"),INDIRECT("'"&amp;$B43&amp;" EI'!$D$6:$Z$53")))*_xlfn.XLOOKUP($B43&amp;E$15,'Gas Useage'!$A$4:$A$15&amp;'Gas Useage'!$B$4:$B$15,_xlfn.XLOOKUP($C43&amp;E$14,'Gas Useage'!$C$2:$AB$2&amp;'Gas Useage'!$C$3:$AB$3,'Gas Useage'!$C$4:$AB$15))/_xlfn.XLOOKUP($B43&amp;E$15,'Gas Useage'!$A$4:$A$15&amp;'Gas Useage'!$B$4:$B$15,_xlfn.XLOOKUP(E$14,'Gas Useage'!$AA$3:$AB$3,'Gas Useage'!$AA$4:$AB$15))</f>
        <v>6.801272012669426E-3</v>
      </c>
      <c r="F43" s="259" cm="1">
        <f t="array" aca="1" ref="F43" ca="1">_xlfn.XLOOKUP(F$13,INDIRECT("'"&amp;$B43&amp;" EI'!$B$6:$B$53"),_xlfn.XLOOKUP($C$10,INDIRECT("'"&amp;$B43&amp;" EI'!$D$4:$Z$4"),INDIRECT("'"&amp;$B43&amp;" EI'!$D$6:$Z$53")))*_xlfn.XLOOKUP($B43&amp;F$15,'Gas Useage'!$A$4:$A$15&amp;'Gas Useage'!$B$4:$B$15,_xlfn.XLOOKUP($C43&amp;F$14,'Gas Useage'!$C$2:$AB$2&amp;'Gas Useage'!$C$3:$AB$3,'Gas Useage'!$C$4:$AB$15))/_xlfn.XLOOKUP($B43&amp;F$15,'Gas Useage'!$A$4:$A$15&amp;'Gas Useage'!$B$4:$B$15,_xlfn.XLOOKUP(F$14,'Gas Useage'!$AA$3:$AB$3,'Gas Useage'!$AA$4:$AB$15))</f>
        <v>5.2125905331568544E-2</v>
      </c>
      <c r="G43" s="259" cm="1">
        <f t="array" aca="1" ref="G43" ca="1">_xlfn.XLOOKUP(G$13,INDIRECT("'"&amp;$B43&amp;" EI'!$B$6:$B$53"),_xlfn.XLOOKUP($C$10,INDIRECT("'"&amp;$B43&amp;" EI'!$D$4:$Z$4"),INDIRECT("'"&amp;$B43&amp;" EI'!$D$6:$Z$53")))*_xlfn.XLOOKUP($B43&amp;G$15,'Gas Useage'!$A$4:$A$15&amp;'Gas Useage'!$B$4:$B$15,_xlfn.XLOOKUP($C43&amp;G$14,'Gas Useage'!$C$2:$AB$2&amp;'Gas Useage'!$C$3:$AB$3,'Gas Useage'!$C$4:$AB$15))/_xlfn.XLOOKUP($B43&amp;G$15,'Gas Useage'!$A$4:$A$15&amp;'Gas Useage'!$B$4:$B$15,_xlfn.XLOOKUP(G$14,'Gas Useage'!$AA$3:$AB$3,'Gas Useage'!$AA$4:$AB$15))</f>
        <v>5.4853936531961576E-3</v>
      </c>
      <c r="H43" s="260" t="s">
        <v>278</v>
      </c>
      <c r="I43" s="260" t="s">
        <v>278</v>
      </c>
      <c r="J43" s="260" t="s">
        <v>278</v>
      </c>
      <c r="K43" s="261" t="s">
        <v>278</v>
      </c>
      <c r="N43" s="258"/>
    </row>
    <row r="44" spans="2:14" ht="13.5" x14ac:dyDescent="0.25">
      <c r="B44" s="32">
        <v>2022</v>
      </c>
      <c r="C44" s="494" t="s">
        <v>282</v>
      </c>
      <c r="D44" s="259" cm="1">
        <f t="array" aca="1" ref="D44" ca="1">_xlfn.XLOOKUP(D$13,INDIRECT("'"&amp;$B44&amp;" EI'!$B$6:$B$53"),_xlfn.XLOOKUP($C$10,INDIRECT("'"&amp;$B44&amp;" EI'!$D$4:$Z$4"),INDIRECT("'"&amp;$B44&amp;" EI'!$D$6:$Z$53")))*_xlfn.XLOOKUP($B44&amp;D$15,'Gas Useage'!$A$4:$A$15&amp;'Gas Useage'!$B$4:$B$15,_xlfn.XLOOKUP($C44&amp;D$14,'Gas Useage'!$C$2:$AB$2&amp;'Gas Useage'!$C$3:$AB$3,'Gas Useage'!$C$4:$AB$15))/_xlfn.XLOOKUP($B44&amp;D$15,'Gas Useage'!$A$4:$A$15&amp;'Gas Useage'!$B$4:$B$15,_xlfn.XLOOKUP(D$14,'Gas Useage'!$AA$3:$AB$3,'Gas Useage'!$AA$4:$AB$15))</f>
        <v>4.4442806694509264E-2</v>
      </c>
      <c r="E44" s="259" cm="1">
        <f t="array" aca="1" ref="E44" ca="1">_xlfn.XLOOKUP(E$13,INDIRECT("'"&amp;$B44&amp;" EI'!$B$6:$B$53"),_xlfn.XLOOKUP($C$10,INDIRECT("'"&amp;$B44&amp;" EI'!$D$4:$Z$4"),INDIRECT("'"&amp;$B44&amp;" EI'!$D$6:$Z$53")))*_xlfn.XLOOKUP($B44&amp;E$15,'Gas Useage'!$A$4:$A$15&amp;'Gas Useage'!$B$4:$B$15,_xlfn.XLOOKUP($C44&amp;E$14,'Gas Useage'!$C$2:$AB$2&amp;'Gas Useage'!$C$3:$AB$3,'Gas Useage'!$C$4:$AB$15))/_xlfn.XLOOKUP($B44&amp;E$15,'Gas Useage'!$A$4:$A$15&amp;'Gas Useage'!$B$4:$B$15,_xlfn.XLOOKUP(E$14,'Gas Useage'!$AA$3:$AB$3,'Gas Useage'!$AA$4:$AB$15))</f>
        <v>4.8736595208388397E-3</v>
      </c>
      <c r="F44" s="259" cm="1">
        <f t="array" aca="1" ref="F44" ca="1">_xlfn.XLOOKUP(F$13,INDIRECT("'"&amp;$B44&amp;" EI'!$B$6:$B$53"),_xlfn.XLOOKUP($C$10,INDIRECT("'"&amp;$B44&amp;" EI'!$D$4:$Z$4"),INDIRECT("'"&amp;$B44&amp;" EI'!$D$6:$Z$53")))*_xlfn.XLOOKUP($B44&amp;F$15,'Gas Useage'!$A$4:$A$15&amp;'Gas Useage'!$B$4:$B$15,_xlfn.XLOOKUP($C44&amp;F$14,'Gas Useage'!$C$2:$AB$2&amp;'Gas Useage'!$C$3:$AB$3,'Gas Useage'!$C$4:$AB$15))/_xlfn.XLOOKUP($B44&amp;F$15,'Gas Useage'!$A$4:$A$15&amp;'Gas Useage'!$B$4:$B$15,_xlfn.XLOOKUP(F$14,'Gas Useage'!$AA$3:$AB$3,'Gas Useage'!$AA$4:$AB$15))</f>
        <v>2.5761644077797879E-2</v>
      </c>
      <c r="G44" s="259" cm="1">
        <f t="array" aca="1" ref="G44" ca="1">_xlfn.XLOOKUP(G$13,INDIRECT("'"&amp;$B44&amp;" EI'!$B$6:$B$53"),_xlfn.XLOOKUP($C$10,INDIRECT("'"&amp;$B44&amp;" EI'!$D$4:$Z$4"),INDIRECT("'"&amp;$B44&amp;" EI'!$D$6:$Z$53")))*_xlfn.XLOOKUP($B44&amp;G$15,'Gas Useage'!$A$4:$A$15&amp;'Gas Useage'!$B$4:$B$15,_xlfn.XLOOKUP($C44&amp;G$14,'Gas Useage'!$C$2:$AB$2&amp;'Gas Useage'!$C$3:$AB$3,'Gas Useage'!$C$4:$AB$15))/_xlfn.XLOOKUP($B44&amp;G$15,'Gas Useage'!$A$4:$A$15&amp;'Gas Useage'!$B$4:$B$15,_xlfn.XLOOKUP(G$14,'Gas Useage'!$AA$3:$AB$3,'Gas Useage'!$AA$4:$AB$15))</f>
        <v>2.8250574450720454E-3</v>
      </c>
      <c r="H44" s="260" t="s">
        <v>278</v>
      </c>
      <c r="I44" s="260" t="s">
        <v>278</v>
      </c>
      <c r="J44" s="260" t="s">
        <v>278</v>
      </c>
      <c r="K44" s="261" t="s">
        <v>278</v>
      </c>
      <c r="N44" s="258"/>
    </row>
    <row r="45" spans="2:14" ht="13.5" x14ac:dyDescent="0.25">
      <c r="B45" s="32">
        <v>2022</v>
      </c>
      <c r="C45" s="494" t="s">
        <v>283</v>
      </c>
      <c r="D45" s="259" cm="1">
        <f t="array" aca="1" ref="D45" ca="1">_xlfn.XLOOKUP(D$13,INDIRECT("'"&amp;$B45&amp;" EI'!$B$6:$B$53"),_xlfn.XLOOKUP($C$10,INDIRECT("'"&amp;$B45&amp;" EI'!$D$4:$Z$4"),INDIRECT("'"&amp;$B45&amp;" EI'!$D$6:$Z$53")))*_xlfn.XLOOKUP($B45&amp;D$15,'Gas Useage'!$A$4:$A$15&amp;'Gas Useage'!$B$4:$B$15,_xlfn.XLOOKUP($C45&amp;D$14,'Gas Useage'!$C$2:$AB$2&amp;'Gas Useage'!$C$3:$AB$3,'Gas Useage'!$C$4:$AB$15))/_xlfn.XLOOKUP($B45&amp;D$15,'Gas Useage'!$A$4:$A$15&amp;'Gas Useage'!$B$4:$B$15,_xlfn.XLOOKUP(D$14,'Gas Useage'!$AA$3:$AB$3,'Gas Useage'!$AA$4:$AB$15))</f>
        <v>1.1341814685502284E-2</v>
      </c>
      <c r="E45" s="259" cm="1">
        <f t="array" aca="1" ref="E45" ca="1">_xlfn.XLOOKUP(E$13,INDIRECT("'"&amp;$B45&amp;" EI'!$B$6:$B$53"),_xlfn.XLOOKUP($C$10,INDIRECT("'"&amp;$B45&amp;" EI'!$D$4:$Z$4"),INDIRECT("'"&amp;$B45&amp;" EI'!$D$6:$Z$53")))*_xlfn.XLOOKUP($B45&amp;E$15,'Gas Useage'!$A$4:$A$15&amp;'Gas Useage'!$B$4:$B$15,_xlfn.XLOOKUP($C45&amp;E$14,'Gas Useage'!$C$2:$AB$2&amp;'Gas Useage'!$C$3:$AB$3,'Gas Useage'!$C$4:$AB$15))/_xlfn.XLOOKUP($B45&amp;E$15,'Gas Useage'!$A$4:$A$15&amp;'Gas Useage'!$B$4:$B$15,_xlfn.XLOOKUP(E$14,'Gas Useage'!$AA$3:$AB$3,'Gas Useage'!$AA$4:$AB$15))</f>
        <v>1.3000431577888563E-3</v>
      </c>
      <c r="F45" s="259" cm="1">
        <f t="array" aca="1" ref="F45" ca="1">_xlfn.XLOOKUP(F$13,INDIRECT("'"&amp;$B45&amp;" EI'!$B$6:$B$53"),_xlfn.XLOOKUP($C$10,INDIRECT("'"&amp;$B45&amp;" EI'!$D$4:$Z$4"),INDIRECT("'"&amp;$B45&amp;" EI'!$D$6:$Z$53")))*_xlfn.XLOOKUP($B45&amp;F$15,'Gas Useage'!$A$4:$A$15&amp;'Gas Useage'!$B$4:$B$15,_xlfn.XLOOKUP($C45&amp;F$14,'Gas Useage'!$C$2:$AB$2&amp;'Gas Useage'!$C$3:$AB$3,'Gas Useage'!$C$4:$AB$15))/_xlfn.XLOOKUP($B45&amp;F$15,'Gas Useage'!$A$4:$A$15&amp;'Gas Useage'!$B$4:$B$15,_xlfn.XLOOKUP(F$14,'Gas Useage'!$AA$3:$AB$3,'Gas Useage'!$AA$4:$AB$15))</f>
        <v>7.8442384509013353E-3</v>
      </c>
      <c r="G45" s="259" cm="1">
        <f t="array" aca="1" ref="G45" ca="1">_xlfn.XLOOKUP(G$13,INDIRECT("'"&amp;$B45&amp;" EI'!$B$6:$B$53"),_xlfn.XLOOKUP($C$10,INDIRECT("'"&amp;$B45&amp;" EI'!$D$4:$Z$4"),INDIRECT("'"&amp;$B45&amp;" EI'!$D$6:$Z$53")))*_xlfn.XLOOKUP($B45&amp;G$15,'Gas Useage'!$A$4:$A$15&amp;'Gas Useage'!$B$4:$B$15,_xlfn.XLOOKUP($C45&amp;G$14,'Gas Useage'!$C$2:$AB$2&amp;'Gas Useage'!$C$3:$AB$3,'Gas Useage'!$C$4:$AB$15))/_xlfn.XLOOKUP($B45&amp;G$15,'Gas Useage'!$A$4:$A$15&amp;'Gas Useage'!$B$4:$B$15,_xlfn.XLOOKUP(G$14,'Gas Useage'!$AA$3:$AB$3,'Gas Useage'!$AA$4:$AB$15))</f>
        <v>8.9913729054257692E-4</v>
      </c>
      <c r="H45" s="260" t="s">
        <v>278</v>
      </c>
      <c r="I45" s="260" t="s">
        <v>278</v>
      </c>
      <c r="J45" s="260" t="s">
        <v>278</v>
      </c>
      <c r="K45" s="261" t="s">
        <v>278</v>
      </c>
      <c r="N45" s="258"/>
    </row>
    <row r="46" spans="2:14" ht="13.5" x14ac:dyDescent="0.25">
      <c r="B46" s="32">
        <v>2022</v>
      </c>
      <c r="C46" s="494" t="s">
        <v>284</v>
      </c>
      <c r="D46" s="259" cm="1">
        <f t="array" aca="1" ref="D46" ca="1">_xlfn.XLOOKUP(D$13,INDIRECT("'"&amp;$B46&amp;" EI'!$B$6:$B$53"),_xlfn.XLOOKUP($C$10,INDIRECT("'"&amp;$B46&amp;" EI'!$D$4:$Z$4"),INDIRECT("'"&amp;$B46&amp;" EI'!$D$6:$Z$53")))*_xlfn.XLOOKUP($B46&amp;D$15,'Gas Useage'!$A$4:$A$15&amp;'Gas Useage'!$B$4:$B$15,_xlfn.XLOOKUP($C46&amp;D$14,'Gas Useage'!$C$2:$AB$2&amp;'Gas Useage'!$C$3:$AB$3,'Gas Useage'!$C$4:$AB$15))/_xlfn.XLOOKUP($B46&amp;D$15,'Gas Useage'!$A$4:$A$15&amp;'Gas Useage'!$B$4:$B$15,_xlfn.XLOOKUP(D$14,'Gas Useage'!$AA$3:$AB$3,'Gas Useage'!$AA$4:$AB$15))</f>
        <v>3.2863010491931792E-2</v>
      </c>
      <c r="E46" s="259" cm="1">
        <f t="array" aca="1" ref="E46" ca="1">_xlfn.XLOOKUP(E$13,INDIRECT("'"&amp;$B46&amp;" EI'!$B$6:$B$53"),_xlfn.XLOOKUP($C$10,INDIRECT("'"&amp;$B46&amp;" EI'!$D$4:$Z$4"),INDIRECT("'"&amp;$B46&amp;" EI'!$D$6:$Z$53")))*_xlfn.XLOOKUP($B46&amp;E$15,'Gas Useage'!$A$4:$A$15&amp;'Gas Useage'!$B$4:$B$15,_xlfn.XLOOKUP($C46&amp;E$14,'Gas Useage'!$C$2:$AB$2&amp;'Gas Useage'!$C$3:$AB$3,'Gas Useage'!$C$4:$AB$15))/_xlfn.XLOOKUP($B46&amp;E$15,'Gas Useage'!$A$4:$A$15&amp;'Gas Useage'!$B$4:$B$15,_xlfn.XLOOKUP(E$14,'Gas Useage'!$AA$3:$AB$3,'Gas Useage'!$AA$4:$AB$15))</f>
        <v>4.3418011313780891E-3</v>
      </c>
      <c r="F46" s="259" cm="1">
        <f t="array" aca="1" ref="F46" ca="1">_xlfn.XLOOKUP(F$13,INDIRECT("'"&amp;$B46&amp;" EI'!$B$6:$B$53"),_xlfn.XLOOKUP($C$10,INDIRECT("'"&amp;$B46&amp;" EI'!$D$4:$Z$4"),INDIRECT("'"&amp;$B46&amp;" EI'!$D$6:$Z$53")))*_xlfn.XLOOKUP($B46&amp;F$15,'Gas Useage'!$A$4:$A$15&amp;'Gas Useage'!$B$4:$B$15,_xlfn.XLOOKUP($C46&amp;F$14,'Gas Useage'!$C$2:$AB$2&amp;'Gas Useage'!$C$3:$AB$3,'Gas Useage'!$C$4:$AB$15))/_xlfn.XLOOKUP($B46&amp;F$15,'Gas Useage'!$A$4:$A$15&amp;'Gas Useage'!$B$4:$B$15,_xlfn.XLOOKUP(F$14,'Gas Useage'!$AA$3:$AB$3,'Gas Useage'!$AA$4:$AB$15))</f>
        <v>3.1064123669958817E-2</v>
      </c>
      <c r="G46" s="259" cm="1">
        <f t="array" aca="1" ref="G46" ca="1">_xlfn.XLOOKUP(G$13,INDIRECT("'"&amp;$B46&amp;" EI'!$B$6:$B$53"),_xlfn.XLOOKUP($C$10,INDIRECT("'"&amp;$B46&amp;" EI'!$D$4:$Z$4"),INDIRECT("'"&amp;$B46&amp;" EI'!$D$6:$Z$53")))*_xlfn.XLOOKUP($B46&amp;G$15,'Gas Useage'!$A$4:$A$15&amp;'Gas Useage'!$B$4:$B$15,_xlfn.XLOOKUP($C46&amp;G$14,'Gas Useage'!$C$2:$AB$2&amp;'Gas Useage'!$C$3:$AB$3,'Gas Useage'!$C$4:$AB$15))/_xlfn.XLOOKUP($B46&amp;G$15,'Gas Useage'!$A$4:$A$15&amp;'Gas Useage'!$B$4:$B$15,_xlfn.XLOOKUP(G$14,'Gas Useage'!$AA$3:$AB$3,'Gas Useage'!$AA$4:$AB$15))</f>
        <v>4.104135478659481E-3</v>
      </c>
      <c r="H46" s="260" t="s">
        <v>278</v>
      </c>
      <c r="I46" s="260" t="s">
        <v>278</v>
      </c>
      <c r="J46" s="260" t="s">
        <v>278</v>
      </c>
      <c r="K46" s="261" t="s">
        <v>278</v>
      </c>
      <c r="N46" s="258"/>
    </row>
    <row r="47" spans="2:14" ht="13.5" x14ac:dyDescent="0.25">
      <c r="B47" s="32">
        <v>2022</v>
      </c>
      <c r="C47" s="494" t="s">
        <v>285</v>
      </c>
      <c r="D47" s="259" cm="1">
        <f t="array" aca="1" ref="D47" ca="1">_xlfn.XLOOKUP(D$13,INDIRECT("'"&amp;$B47&amp;" EI'!$B$6:$B$53"),_xlfn.XLOOKUP($C$10,INDIRECT("'"&amp;$B47&amp;" EI'!$D$4:$Z$4"),INDIRECT("'"&amp;$B47&amp;" EI'!$D$6:$Z$53")))*_xlfn.XLOOKUP($B47&amp;D$15,'Gas Useage'!$A$4:$A$15&amp;'Gas Useage'!$B$4:$B$15,_xlfn.XLOOKUP($C47&amp;D$14,'Gas Useage'!$C$2:$AB$2&amp;'Gas Useage'!$C$3:$AB$3,'Gas Useage'!$C$4:$AB$15))/_xlfn.XLOOKUP($B47&amp;D$15,'Gas Useage'!$A$4:$A$15&amp;'Gas Useage'!$B$4:$B$15,_xlfn.XLOOKUP(D$14,'Gas Useage'!$AA$3:$AB$3,'Gas Useage'!$AA$4:$AB$15))</f>
        <v>8.3203713868618495E-2</v>
      </c>
      <c r="E47" s="259" cm="1">
        <f t="array" aca="1" ref="E47" ca="1">_xlfn.XLOOKUP(E$13,INDIRECT("'"&amp;$B47&amp;" EI'!$B$6:$B$53"),_xlfn.XLOOKUP($C$10,INDIRECT("'"&amp;$B47&amp;" EI'!$D$4:$Z$4"),INDIRECT("'"&amp;$B47&amp;" EI'!$D$6:$Z$53")))*_xlfn.XLOOKUP($B47&amp;E$15,'Gas Useage'!$A$4:$A$15&amp;'Gas Useage'!$B$4:$B$15,_xlfn.XLOOKUP($C47&amp;E$14,'Gas Useage'!$C$2:$AB$2&amp;'Gas Useage'!$C$3:$AB$3,'Gas Useage'!$C$4:$AB$15))/_xlfn.XLOOKUP($B47&amp;E$15,'Gas Useage'!$A$4:$A$15&amp;'Gas Useage'!$B$4:$B$15,_xlfn.XLOOKUP(E$14,'Gas Useage'!$AA$3:$AB$3,'Gas Useage'!$AA$4:$AB$15))</f>
        <v>7.7910997293810721E-3</v>
      </c>
      <c r="F47" s="259" cm="1">
        <f t="array" aca="1" ref="F47" ca="1">_xlfn.XLOOKUP(F$13,INDIRECT("'"&amp;$B47&amp;" EI'!$B$6:$B$53"),_xlfn.XLOOKUP($C$10,INDIRECT("'"&amp;$B47&amp;" EI'!$D$4:$Z$4"),INDIRECT("'"&amp;$B47&amp;" EI'!$D$6:$Z$53")))*_xlfn.XLOOKUP($B47&amp;F$15,'Gas Useage'!$A$4:$A$15&amp;'Gas Useage'!$B$4:$B$15,_xlfn.XLOOKUP($C47&amp;F$14,'Gas Useage'!$C$2:$AB$2&amp;'Gas Useage'!$C$3:$AB$3,'Gas Useage'!$C$4:$AB$15))/_xlfn.XLOOKUP($B47&amp;F$15,'Gas Useage'!$A$4:$A$15&amp;'Gas Useage'!$B$4:$B$15,_xlfn.XLOOKUP(F$14,'Gas Useage'!$AA$3:$AB$3,'Gas Useage'!$AA$4:$AB$15))</f>
        <v>6.0448342025946129E-2</v>
      </c>
      <c r="G47" s="259" cm="1">
        <f t="array" aca="1" ref="G47" ca="1">_xlfn.XLOOKUP(G$13,INDIRECT("'"&amp;$B47&amp;" EI'!$B$6:$B$53"),_xlfn.XLOOKUP($C$10,INDIRECT("'"&amp;$B47&amp;" EI'!$D$4:$Z$4"),INDIRECT("'"&amp;$B47&amp;" EI'!$D$6:$Z$53")))*_xlfn.XLOOKUP($B47&amp;G$15,'Gas Useage'!$A$4:$A$15&amp;'Gas Useage'!$B$4:$B$15,_xlfn.XLOOKUP($C47&amp;G$14,'Gas Useage'!$C$2:$AB$2&amp;'Gas Useage'!$C$3:$AB$3,'Gas Useage'!$C$4:$AB$15))/_xlfn.XLOOKUP($B47&amp;G$15,'Gas Useage'!$A$4:$A$15&amp;'Gas Useage'!$B$4:$B$15,_xlfn.XLOOKUP(G$14,'Gas Useage'!$AA$3:$AB$3,'Gas Useage'!$AA$4:$AB$15))</f>
        <v>5.6603129752542504E-3</v>
      </c>
      <c r="H47" s="260" t="s">
        <v>278</v>
      </c>
      <c r="I47" s="260" t="s">
        <v>278</v>
      </c>
      <c r="J47" s="260" t="s">
        <v>278</v>
      </c>
      <c r="K47" s="261" t="s">
        <v>278</v>
      </c>
      <c r="N47" s="258"/>
    </row>
    <row r="48" spans="2:14" ht="14.25" thickBot="1" x14ac:dyDescent="0.3">
      <c r="B48" s="33">
        <v>2022</v>
      </c>
      <c r="C48" s="499" t="s">
        <v>286</v>
      </c>
      <c r="D48" s="262" cm="1">
        <f t="array" aca="1" ref="D48" ca="1">_xlfn.XLOOKUP(D$13,INDIRECT("'"&amp;$B48&amp;" EI'!$B$6:$B$53"),_xlfn.XLOOKUP($C$10,INDIRECT("'"&amp;$B48&amp;" EI'!$D$4:$Z$4"),INDIRECT("'"&amp;$B48&amp;" EI'!$D$6:$Z$53")))*_xlfn.XLOOKUP($B48&amp;D$15,'Gas Useage'!$A$4:$A$15&amp;'Gas Useage'!$B$4:$B$15,_xlfn.XLOOKUP($C48&amp;D$14,'Gas Useage'!$C$2:$AB$2&amp;'Gas Useage'!$C$3:$AB$3,'Gas Useage'!$C$4:$AB$15))/_xlfn.XLOOKUP($B48&amp;D$15,'Gas Useage'!$A$4:$A$15&amp;'Gas Useage'!$B$4:$B$15,_xlfn.XLOOKUP(D$14,'Gas Useage'!$AA$3:$AB$3,'Gas Useage'!$AA$4:$AB$15))</f>
        <v>2.8379173661080972E-2</v>
      </c>
      <c r="E48" s="262" cm="1">
        <f t="array" aca="1" ref="E48" ca="1">_xlfn.XLOOKUP(E$13,INDIRECT("'"&amp;$B48&amp;" EI'!$B$6:$B$53"),_xlfn.XLOOKUP($C$10,INDIRECT("'"&amp;$B48&amp;" EI'!$D$4:$Z$4"),INDIRECT("'"&amp;$B48&amp;" EI'!$D$6:$Z$53")))*_xlfn.XLOOKUP($B48&amp;E$15,'Gas Useage'!$A$4:$A$15&amp;'Gas Useage'!$B$4:$B$15,_xlfn.XLOOKUP($C48&amp;E$14,'Gas Useage'!$C$2:$AB$2&amp;'Gas Useage'!$C$3:$AB$3,'Gas Useage'!$C$4:$AB$15))/_xlfn.XLOOKUP($B48&amp;E$15,'Gas Useage'!$A$4:$A$15&amp;'Gas Useage'!$B$4:$B$15,_xlfn.XLOOKUP(E$14,'Gas Useage'!$AA$3:$AB$3,'Gas Useage'!$AA$4:$AB$15))</f>
        <v>3.3156336147602823E-3</v>
      </c>
      <c r="F48" s="262" cm="1">
        <f t="array" aca="1" ref="F48" ca="1">_xlfn.XLOOKUP(F$13,INDIRECT("'"&amp;$B48&amp;" EI'!$B$6:$B$53"),_xlfn.XLOOKUP($C$10,INDIRECT("'"&amp;$B48&amp;" EI'!$D$4:$Z$4"),INDIRECT("'"&amp;$B48&amp;" EI'!$D$6:$Z$53")))*_xlfn.XLOOKUP($B48&amp;F$15,'Gas Useage'!$A$4:$A$15&amp;'Gas Useage'!$B$4:$B$15,_xlfn.XLOOKUP($C48&amp;F$14,'Gas Useage'!$C$2:$AB$2&amp;'Gas Useage'!$C$3:$AB$3,'Gas Useage'!$C$4:$AB$15))/_xlfn.XLOOKUP($B48&amp;F$15,'Gas Useage'!$A$4:$A$15&amp;'Gas Useage'!$B$4:$B$15,_xlfn.XLOOKUP(F$14,'Gas Useage'!$AA$3:$AB$3,'Gas Useage'!$AA$4:$AB$15))</f>
        <v>1.6083864184811298E-2</v>
      </c>
      <c r="G48" s="262" cm="1">
        <f t="array" aca="1" ref="G48" ca="1">_xlfn.XLOOKUP(G$13,INDIRECT("'"&amp;$B48&amp;" EI'!$B$6:$B$53"),_xlfn.XLOOKUP($C$10,INDIRECT("'"&amp;$B48&amp;" EI'!$D$4:$Z$4"),INDIRECT("'"&amp;$B48&amp;" EI'!$D$6:$Z$53")))*_xlfn.XLOOKUP($B48&amp;G$15,'Gas Useage'!$A$4:$A$15&amp;'Gas Useage'!$B$4:$B$15,_xlfn.XLOOKUP($C48&amp;G$14,'Gas Useage'!$C$2:$AB$2&amp;'Gas Useage'!$C$3:$AB$3,'Gas Useage'!$C$4:$AB$15))/_xlfn.XLOOKUP($B48&amp;G$15,'Gas Useage'!$A$4:$A$15&amp;'Gas Useage'!$B$4:$B$15,_xlfn.XLOOKUP(G$14,'Gas Useage'!$AA$3:$AB$3,'Gas Useage'!$AA$4:$AB$15))</f>
        <v>1.8791315555298671E-3</v>
      </c>
      <c r="H48" s="263">
        <f t="shared" ref="H48:K51" ca="1" si="0">IFERROR(SUM(D25:D48)/2,"--")</f>
        <v>0.59644447798910838</v>
      </c>
      <c r="I48" s="263">
        <f t="shared" ca="1" si="0"/>
        <v>5.1879548172202347E-2</v>
      </c>
      <c r="J48" s="263">
        <f t="shared" ca="1" si="0"/>
        <v>0.6034361046375406</v>
      </c>
      <c r="K48" s="264">
        <f t="shared" ca="1" si="0"/>
        <v>5.088610572509461E-2</v>
      </c>
      <c r="N48" s="258"/>
    </row>
    <row r="49" spans="2:14" ht="13.5" hidden="1" x14ac:dyDescent="0.25">
      <c r="B49" s="495">
        <v>2022</v>
      </c>
      <c r="C49" s="284" t="s">
        <v>287</v>
      </c>
      <c r="D49" s="496" cm="1">
        <f t="array" aca="1" ref="D49" ca="1">_xlfn.XLOOKUP(D$13,INDIRECT("'"&amp;$B49&amp;" EI'!$B$6:$B$53"),_xlfn.XLOOKUP($C$10,INDIRECT("'"&amp;$B49&amp;" EI'!$D$4:$Z$4"),INDIRECT("'"&amp;$B49&amp;" EI'!$D$6:$Z$53")))*_xlfn.XLOOKUP($B49&amp;D$15,'Gas Useage'!$A$4:$A$15&amp;'Gas Useage'!$B$4:$B$15,_xlfn.XLOOKUP($C49&amp;D$14,'Gas Useage'!$C$2:$AB$2&amp;'Gas Useage'!$C$3:$AB$3,'Gas Useage'!$C$4:$AB$15))/_xlfn.XLOOKUP($B49&amp;D$15,'Gas Useage'!$A$4:$A$15&amp;'Gas Useage'!$B$4:$B$15,_xlfn.XLOOKUP(D$14,'Gas Useage'!$AA$3:$AB$3,'Gas Useage'!$AA$4:$AB$15))</f>
        <v>2.00105979334597E-2</v>
      </c>
      <c r="E49" s="496" cm="1">
        <f t="array" aca="1" ref="E49" ca="1">_xlfn.XLOOKUP(E$13,INDIRECT("'"&amp;$B49&amp;" EI'!$B$6:$B$53"),_xlfn.XLOOKUP($C$10,INDIRECT("'"&amp;$B49&amp;" EI'!$D$4:$Z$4"),INDIRECT("'"&amp;$B49&amp;" EI'!$D$6:$Z$53")))*_xlfn.XLOOKUP($B49&amp;E$15,'Gas Useage'!$A$4:$A$15&amp;'Gas Useage'!$B$4:$B$15,_xlfn.XLOOKUP($C49&amp;E$14,'Gas Useage'!$C$2:$AB$2&amp;'Gas Useage'!$C$3:$AB$3,'Gas Useage'!$C$4:$AB$15))/_xlfn.XLOOKUP($B49&amp;E$15,'Gas Useage'!$A$4:$A$15&amp;'Gas Useage'!$B$4:$B$15,_xlfn.XLOOKUP(E$14,'Gas Useage'!$AA$3:$AB$3,'Gas Useage'!$AA$4:$AB$15))</f>
        <v>3.5211146936996078E-3</v>
      </c>
      <c r="F49" s="496" cm="1">
        <f t="array" aca="1" ref="F49" ca="1">_xlfn.XLOOKUP(F$13,INDIRECT("'"&amp;$B49&amp;" EI'!$B$6:$B$53"),_xlfn.XLOOKUP($C$10,INDIRECT("'"&amp;$B49&amp;" EI'!$D$4:$Z$4"),INDIRECT("'"&amp;$B49&amp;" EI'!$D$6:$Z$53")))*_xlfn.XLOOKUP($B49&amp;F$15,'Gas Useage'!$A$4:$A$15&amp;'Gas Useage'!$B$4:$B$15,_xlfn.XLOOKUP($C49&amp;F$14,'Gas Useage'!$C$2:$AB$2&amp;'Gas Useage'!$C$3:$AB$3,'Gas Useage'!$C$4:$AB$15))/_xlfn.XLOOKUP($B49&amp;F$15,'Gas Useage'!$A$4:$A$15&amp;'Gas Useage'!$B$4:$B$15,_xlfn.XLOOKUP(F$14,'Gas Useage'!$AA$3:$AB$3,'Gas Useage'!$AA$4:$AB$15))</f>
        <v>1.5111833871792215E-2</v>
      </c>
      <c r="G49" s="496" cm="1">
        <f t="array" aca="1" ref="G49" ca="1">_xlfn.XLOOKUP(G$13,INDIRECT("'"&amp;$B49&amp;" EI'!$B$6:$B$53"),_xlfn.XLOOKUP($C$10,INDIRECT("'"&amp;$B49&amp;" EI'!$D$4:$Z$4"),INDIRECT("'"&amp;$B49&amp;" EI'!$D$6:$Z$53")))*_xlfn.XLOOKUP($B49&amp;G$15,'Gas Useage'!$A$4:$A$15&amp;'Gas Useage'!$B$4:$B$15,_xlfn.XLOOKUP($C49&amp;G$14,'Gas Useage'!$C$2:$AB$2&amp;'Gas Useage'!$C$3:$AB$3,'Gas Useage'!$C$4:$AB$15))/_xlfn.XLOOKUP($B49&amp;G$15,'Gas Useage'!$A$4:$A$15&amp;'Gas Useage'!$B$4:$B$15,_xlfn.XLOOKUP(G$14,'Gas Useage'!$AA$3:$AB$3,'Gas Useage'!$AA$4:$AB$15))</f>
        <v>2.6591159580365048E-3</v>
      </c>
      <c r="H49" s="497">
        <f t="shared" ca="1" si="0"/>
        <v>0.59401734623954872</v>
      </c>
      <c r="I49" s="497">
        <f t="shared" ca="1" si="0"/>
        <v>5.2514517203982904E-2</v>
      </c>
      <c r="J49" s="497">
        <f t="shared" ca="1" si="0"/>
        <v>0.58224006368310521</v>
      </c>
      <c r="K49" s="498">
        <f t="shared" ca="1" si="0"/>
        <v>4.9612563105746597E-2</v>
      </c>
      <c r="N49" s="258"/>
    </row>
    <row r="50" spans="2:14" ht="13.5" hidden="1" x14ac:dyDescent="0.25">
      <c r="B50" s="283">
        <v>2022</v>
      </c>
      <c r="C50" s="284" t="s">
        <v>288</v>
      </c>
      <c r="D50" s="290" cm="1">
        <f t="array" aca="1" ref="D50" ca="1">_xlfn.XLOOKUP(D$13,INDIRECT("'"&amp;$B50&amp;" EI'!$B$6:$B$53"),_xlfn.XLOOKUP($C$10,INDIRECT("'"&amp;$B50&amp;" EI'!$D$4:$Z$4"),INDIRECT("'"&amp;$B50&amp;" EI'!$D$6:$Z$53")))*_xlfn.XLOOKUP($B50&amp;D$15,'Gas Useage'!$A$4:$A$15&amp;'Gas Useage'!$B$4:$B$15,_xlfn.XLOOKUP($C50&amp;D$14,'Gas Useage'!$C$2:$AB$2&amp;'Gas Useage'!$C$3:$AB$3,'Gas Useage'!$C$4:$AB$15))/_xlfn.XLOOKUP($B50&amp;D$15,'Gas Useage'!$A$4:$A$15&amp;'Gas Useage'!$B$4:$B$15,_xlfn.XLOOKUP(D$14,'Gas Useage'!$AA$3:$AB$3,'Gas Useage'!$AA$4:$AB$15))</f>
        <v>3.0461691926395125E-5</v>
      </c>
      <c r="E50" s="290" cm="1">
        <f t="array" aca="1" ref="E50" ca="1">_xlfn.XLOOKUP(E$13,INDIRECT("'"&amp;$B50&amp;" EI'!$B$6:$B$53"),_xlfn.XLOOKUP($C$10,INDIRECT("'"&amp;$B50&amp;" EI'!$D$4:$Z$4"),INDIRECT("'"&amp;$B50&amp;" EI'!$D$6:$Z$53")))*_xlfn.XLOOKUP($B50&amp;E$15,'Gas Useage'!$A$4:$A$15&amp;'Gas Useage'!$B$4:$B$15,_xlfn.XLOOKUP($C50&amp;E$14,'Gas Useage'!$C$2:$AB$2&amp;'Gas Useage'!$C$3:$AB$3,'Gas Useage'!$C$4:$AB$15))/_xlfn.XLOOKUP($B50&amp;E$15,'Gas Useage'!$A$4:$A$15&amp;'Gas Useage'!$B$4:$B$15,_xlfn.XLOOKUP(E$14,'Gas Useage'!$AA$3:$AB$3,'Gas Useage'!$AA$4:$AB$15))</f>
        <v>3.7321952223065673E-6</v>
      </c>
      <c r="F50" s="290" cm="1">
        <f t="array" aca="1" ref="F50" ca="1">_xlfn.XLOOKUP(F$13,INDIRECT("'"&amp;$B50&amp;" EI'!$B$6:$B$53"),_xlfn.XLOOKUP($C$10,INDIRECT("'"&amp;$B50&amp;" EI'!$D$4:$Z$4"),INDIRECT("'"&amp;$B50&amp;" EI'!$D$6:$Z$53")))*_xlfn.XLOOKUP($B50&amp;F$15,'Gas Useage'!$A$4:$A$15&amp;'Gas Useage'!$B$4:$B$15,_xlfn.XLOOKUP($C50&amp;F$14,'Gas Useage'!$C$2:$AB$2&amp;'Gas Useage'!$C$3:$AB$3,'Gas Useage'!$C$4:$AB$15))/_xlfn.XLOOKUP($B50&amp;F$15,'Gas Useage'!$A$4:$A$15&amp;'Gas Useage'!$B$4:$B$15,_xlfn.XLOOKUP(F$14,'Gas Useage'!$AA$3:$AB$3,'Gas Useage'!$AA$4:$AB$15))</f>
        <v>2.5635274389422483E-5</v>
      </c>
      <c r="G50" s="290" cm="1">
        <f t="array" aca="1" ref="G50" ca="1">_xlfn.XLOOKUP(G$13,INDIRECT("'"&amp;$B50&amp;" EI'!$B$6:$B$53"),_xlfn.XLOOKUP($C$10,INDIRECT("'"&amp;$B50&amp;" EI'!$D$4:$Z$4"),INDIRECT("'"&amp;$B50&amp;" EI'!$D$6:$Z$53")))*_xlfn.XLOOKUP($B50&amp;G$15,'Gas Useage'!$A$4:$A$15&amp;'Gas Useage'!$B$4:$B$15,_xlfn.XLOOKUP($C50&amp;G$14,'Gas Useage'!$C$2:$AB$2&amp;'Gas Useage'!$C$3:$AB$3,'Gas Useage'!$C$4:$AB$15))/_xlfn.XLOOKUP($B50&amp;G$15,'Gas Useage'!$A$4:$A$15&amp;'Gas Useage'!$B$4:$B$15,_xlfn.XLOOKUP(G$14,'Gas Useage'!$AA$3:$AB$3,'Gas Useage'!$AA$4:$AB$15))</f>
        <v>3.1408579940307636E-6</v>
      </c>
      <c r="H50" s="291">
        <f t="shared" ca="1" si="0"/>
        <v>0.56722574397663228</v>
      </c>
      <c r="I50" s="291">
        <f t="shared" ca="1" si="0"/>
        <v>4.9237574671092535E-2</v>
      </c>
      <c r="J50" s="291">
        <f t="shared" ca="1" si="0"/>
        <v>0.54167514566958952</v>
      </c>
      <c r="K50" s="292">
        <f t="shared" ca="1" si="0"/>
        <v>4.4650972488551752E-2</v>
      </c>
      <c r="N50" s="258"/>
    </row>
    <row r="51" spans="2:14" ht="14.25" hidden="1" thickBot="1" x14ac:dyDescent="0.3">
      <c r="B51" s="285">
        <v>2022</v>
      </c>
      <c r="C51" s="286" t="s">
        <v>289</v>
      </c>
      <c r="D51" s="287" cm="1">
        <f t="array" aca="1" ref="D51" ca="1">_xlfn.XLOOKUP(D$13,INDIRECT("'"&amp;$B51&amp;" EI'!$B$6:$B$53"),_xlfn.XLOOKUP($C$10,INDIRECT("'"&amp;$B51&amp;" EI'!$D$4:$Z$4"),INDIRECT("'"&amp;$B51&amp;" EI'!$D$6:$Z$53")))*_xlfn.XLOOKUP($B51&amp;D$15,'Gas Useage'!$A$4:$A$15&amp;'Gas Useage'!$B$4:$B$15,_xlfn.XLOOKUP($C51&amp;D$14,'Gas Useage'!$C$2:$AB$2&amp;'Gas Useage'!$C$3:$AB$3,'Gas Useage'!$C$4:$AB$15))/_xlfn.XLOOKUP($B51&amp;D$15,'Gas Useage'!$A$4:$A$15&amp;'Gas Useage'!$B$4:$B$15,_xlfn.XLOOKUP(D$14,'Gas Useage'!$AA$3:$AB$3,'Gas Useage'!$AA$4:$AB$15))</f>
        <v>1.0201834977824613E-5</v>
      </c>
      <c r="E51" s="287" cm="1">
        <f t="array" aca="1" ref="E51" ca="1">_xlfn.XLOOKUP(E$13,INDIRECT("'"&amp;$B51&amp;" EI'!$B$6:$B$53"),_xlfn.XLOOKUP($C$10,INDIRECT("'"&amp;$B51&amp;" EI'!$D$4:$Z$4"),INDIRECT("'"&amp;$B51&amp;" EI'!$D$6:$Z$53")))*_xlfn.XLOOKUP($B51&amp;E$15,'Gas Useage'!$A$4:$A$15&amp;'Gas Useage'!$B$4:$B$15,_xlfn.XLOOKUP($C51&amp;E$14,'Gas Useage'!$C$2:$AB$2&amp;'Gas Useage'!$C$3:$AB$3,'Gas Useage'!$C$4:$AB$15))/_xlfn.XLOOKUP($B51&amp;E$15,'Gas Useage'!$A$4:$A$15&amp;'Gas Useage'!$B$4:$B$15,_xlfn.XLOOKUP(E$14,'Gas Useage'!$AA$3:$AB$3,'Gas Useage'!$AA$4:$AB$15))</f>
        <v>1.3629409014718826E-6</v>
      </c>
      <c r="F51" s="287" cm="1">
        <f t="array" aca="1" ref="F51" ca="1">_xlfn.XLOOKUP(F$13,INDIRECT("'"&amp;$B51&amp;" EI'!$B$6:$B$53"),_xlfn.XLOOKUP($C$10,INDIRECT("'"&amp;$B51&amp;" EI'!$D$4:$Z$4"),INDIRECT("'"&amp;$B51&amp;" EI'!$D$6:$Z$53")))*_xlfn.XLOOKUP($B51&amp;F$15,'Gas Useage'!$A$4:$A$15&amp;'Gas Useage'!$B$4:$B$15,_xlfn.XLOOKUP($C51&amp;F$14,'Gas Useage'!$C$2:$AB$2&amp;'Gas Useage'!$C$3:$AB$3,'Gas Useage'!$C$4:$AB$15))/_xlfn.XLOOKUP($B51&amp;F$15,'Gas Useage'!$A$4:$A$15&amp;'Gas Useage'!$B$4:$B$15,_xlfn.XLOOKUP(F$14,'Gas Useage'!$AA$3:$AB$3,'Gas Useage'!$AA$4:$AB$15))</f>
        <v>7.3836887174579888E-6</v>
      </c>
      <c r="G51" s="287" cm="1">
        <f t="array" aca="1" ref="G51" ca="1">_xlfn.XLOOKUP(G$13,INDIRECT("'"&amp;$B51&amp;" EI'!$B$6:$B$53"),_xlfn.XLOOKUP($C$10,INDIRECT("'"&amp;$B51&amp;" EI'!$D$4:$Z$4"),INDIRECT("'"&amp;$B51&amp;" EI'!$D$6:$Z$53")))*_xlfn.XLOOKUP($B51&amp;G$15,'Gas Useage'!$A$4:$A$15&amp;'Gas Useage'!$B$4:$B$15,_xlfn.XLOOKUP($C51&amp;G$14,'Gas Useage'!$C$2:$AB$2&amp;'Gas Useage'!$C$3:$AB$3,'Gas Useage'!$C$4:$AB$15))/_xlfn.XLOOKUP($B51&amp;G$15,'Gas Useage'!$A$4:$A$15&amp;'Gas Useage'!$B$4:$B$15,_xlfn.XLOOKUP(G$14,'Gas Useage'!$AA$3:$AB$3,'Gas Useage'!$AA$4:$AB$15))</f>
        <v>9.8644326031882702E-7</v>
      </c>
      <c r="H51" s="288">
        <f t="shared" ca="1" si="0"/>
        <v>0.54042401178524146</v>
      </c>
      <c r="I51" s="288">
        <f t="shared" ca="1" si="0"/>
        <v>4.5959447511041751E-2</v>
      </c>
      <c r="J51" s="288">
        <f t="shared" ca="1" si="0"/>
        <v>0.5011011018632382</v>
      </c>
      <c r="K51" s="289">
        <f t="shared" ca="1" si="0"/>
        <v>3.9688304663990051E-2</v>
      </c>
      <c r="N51" s="258"/>
    </row>
    <row r="53" spans="2:14" x14ac:dyDescent="0.2">
      <c r="B53" s="265"/>
      <c r="C53" s="265"/>
    </row>
    <row r="54" spans="2:14" x14ac:dyDescent="0.2">
      <c r="B54" s="266"/>
      <c r="C54" s="266"/>
      <c r="D54" s="267"/>
      <c r="E54" s="267"/>
      <c r="F54" s="267"/>
      <c r="G54" s="267"/>
    </row>
    <row r="55" spans="2:14" x14ac:dyDescent="0.2">
      <c r="B55" s="266"/>
      <c r="C55" s="266"/>
      <c r="D55" s="267"/>
      <c r="E55" s="267"/>
      <c r="F55" s="267"/>
      <c r="G55" s="267"/>
    </row>
    <row r="56" spans="2:14" x14ac:dyDescent="0.2">
      <c r="B56" s="266"/>
      <c r="C56" s="266"/>
      <c r="D56" s="267"/>
      <c r="E56" s="267"/>
      <c r="F56" s="267"/>
      <c r="G56" s="267"/>
    </row>
    <row r="57" spans="2:14" x14ac:dyDescent="0.2">
      <c r="B57" s="266"/>
      <c r="C57" s="266"/>
      <c r="D57" s="267"/>
      <c r="E57" s="267"/>
      <c r="F57" s="267"/>
      <c r="G57" s="267"/>
    </row>
    <row r="58" spans="2:14" x14ac:dyDescent="0.2">
      <c r="B58" s="266"/>
      <c r="C58" s="266"/>
      <c r="D58" s="267"/>
      <c r="E58" s="267"/>
      <c r="F58" s="267"/>
      <c r="G58" s="267"/>
      <c r="H58" s="267"/>
      <c r="I58" s="267"/>
      <c r="J58" s="267"/>
      <c r="K58" s="267"/>
    </row>
    <row r="61" spans="2:14" x14ac:dyDescent="0.2">
      <c r="B61" s="265"/>
      <c r="C61" s="265"/>
      <c r="D61" s="268"/>
    </row>
    <row r="62" spans="2:14" x14ac:dyDescent="0.2">
      <c r="B62" s="266"/>
      <c r="C62" s="266"/>
    </row>
    <row r="63" spans="2:14" x14ac:dyDescent="0.2">
      <c r="B63" s="266"/>
      <c r="C63" s="266"/>
    </row>
    <row r="64" spans="2:14" x14ac:dyDescent="0.2">
      <c r="B64" s="266"/>
      <c r="C64" s="266"/>
    </row>
    <row r="65" spans="2:3" x14ac:dyDescent="0.2">
      <c r="B65" s="266"/>
      <c r="C65" s="266"/>
    </row>
    <row r="66" spans="2:3" x14ac:dyDescent="0.2">
      <c r="B66" s="266"/>
      <c r="C66" s="266"/>
    </row>
    <row r="68" spans="2:3" x14ac:dyDescent="0.2">
      <c r="B68" s="266"/>
      <c r="C68" s="266"/>
    </row>
    <row r="70" spans="2:3" x14ac:dyDescent="0.2">
      <c r="B70" s="265"/>
      <c r="C70" s="265"/>
    </row>
  </sheetData>
  <mergeCells count="2">
    <mergeCell ref="D12:G12"/>
    <mergeCell ref="H12:K12"/>
  </mergeCells>
  <phoneticPr fontId="57" type="noConversion"/>
  <pageMargins left="0.7" right="0.7" top="0.75" bottom="0.75" header="0.3" footer="0.3"/>
  <pageSetup scale="6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A4FF7-A593-43ED-9C49-5268133075E6}">
  <sheetPr>
    <tabColor theme="1"/>
  </sheetPr>
  <dimension ref="B1:V70"/>
  <sheetViews>
    <sheetView view="pageBreakPreview" zoomScale="60" zoomScaleNormal="100" workbookViewId="0">
      <selection activeCell="J40" sqref="J40:J41"/>
    </sheetView>
  </sheetViews>
  <sheetFormatPr defaultColWidth="9.140625" defaultRowHeight="12.75" x14ac:dyDescent="0.2"/>
  <cols>
    <col min="1" max="1" width="4.28515625" style="252" customWidth="1"/>
    <col min="2" max="2" width="12" style="252" customWidth="1"/>
    <col min="3" max="3" width="18.85546875" style="252" customWidth="1"/>
    <col min="4" max="7" width="8.85546875" style="252" bestFit="1" customWidth="1"/>
    <col min="8" max="13" width="9.140625" style="252"/>
    <col min="14" max="14" width="11.140625" style="252" bestFit="1" customWidth="1"/>
    <col min="15" max="15" width="17.28515625" style="252" customWidth="1"/>
    <col min="16" max="16" width="15.42578125" style="252" customWidth="1"/>
    <col min="17" max="16384" width="9.140625" style="252"/>
  </cols>
  <sheetData>
    <row r="1" spans="2:22" s="18" customFormat="1" x14ac:dyDescent="0.2">
      <c r="B1" s="28"/>
      <c r="C1" s="28"/>
      <c r="F1" s="19"/>
      <c r="G1" s="19"/>
    </row>
    <row r="2" spans="2:22" s="18" customFormat="1" x14ac:dyDescent="0.2">
      <c r="B2" s="28"/>
      <c r="C2" s="28"/>
      <c r="F2" s="19"/>
      <c r="G2" s="19"/>
    </row>
    <row r="3" spans="2:22" x14ac:dyDescent="0.2">
      <c r="B3" s="20"/>
      <c r="C3" s="20"/>
    </row>
    <row r="4" spans="2:22" x14ac:dyDescent="0.2">
      <c r="B4" s="24" t="s">
        <v>0</v>
      </c>
      <c r="C4" s="25" t="s">
        <v>261</v>
      </c>
    </row>
    <row r="5" spans="2:22" x14ac:dyDescent="0.2">
      <c r="B5" s="24" t="s">
        <v>79</v>
      </c>
      <c r="C5" s="25" t="s">
        <v>4</v>
      </c>
    </row>
    <row r="6" spans="2:22" x14ac:dyDescent="0.2">
      <c r="B6" s="24" t="s">
        <v>80</v>
      </c>
      <c r="C6" s="25" t="s">
        <v>262</v>
      </c>
    </row>
    <row r="7" spans="2:22" x14ac:dyDescent="0.2">
      <c r="B7" s="20"/>
      <c r="C7" s="20"/>
    </row>
    <row r="8" spans="2:22" x14ac:dyDescent="0.2">
      <c r="B8" s="26"/>
      <c r="C8" s="26"/>
      <c r="O8" s="18"/>
      <c r="P8" s="18"/>
      <c r="Q8" s="18"/>
      <c r="R8" s="18"/>
      <c r="S8" s="18"/>
      <c r="T8" s="18"/>
      <c r="U8" s="18"/>
      <c r="V8" s="18"/>
    </row>
    <row r="9" spans="2:22" x14ac:dyDescent="0.2">
      <c r="B9" s="26"/>
      <c r="C9" s="26"/>
      <c r="O9" s="18"/>
      <c r="P9" s="18"/>
      <c r="Q9" s="18"/>
      <c r="R9" s="18"/>
      <c r="S9" s="18"/>
      <c r="T9" s="18"/>
      <c r="U9" s="18"/>
      <c r="V9" s="18"/>
    </row>
    <row r="10" spans="2:22" x14ac:dyDescent="0.2">
      <c r="B10" s="27" t="s">
        <v>263</v>
      </c>
      <c r="C10" s="35" t="s">
        <v>292</v>
      </c>
      <c r="O10" s="18"/>
      <c r="P10" s="18"/>
      <c r="Q10" s="18"/>
      <c r="R10" s="18"/>
      <c r="S10" s="18"/>
      <c r="T10" s="18"/>
      <c r="U10" s="18"/>
      <c r="V10" s="18"/>
    </row>
    <row r="11" spans="2:22" s="253" customFormat="1" ht="15" customHeight="1" thickBot="1" x14ac:dyDescent="0.25">
      <c r="O11" s="18"/>
      <c r="P11" s="18"/>
      <c r="Q11" s="18"/>
      <c r="R11" s="18"/>
      <c r="S11" s="18"/>
      <c r="T11" s="18"/>
      <c r="U11" s="18"/>
      <c r="V11" s="18"/>
    </row>
    <row r="12" spans="2:22" ht="16.5" customHeight="1" thickBot="1" x14ac:dyDescent="0.25">
      <c r="B12" s="30"/>
      <c r="C12" s="30"/>
      <c r="D12" s="552" t="s">
        <v>265</v>
      </c>
      <c r="E12" s="553"/>
      <c r="F12" s="553"/>
      <c r="G12" s="554"/>
      <c r="H12" s="552" t="s">
        <v>266</v>
      </c>
      <c r="I12" s="553"/>
      <c r="J12" s="553"/>
      <c r="K12" s="554"/>
      <c r="L12" s="254"/>
      <c r="O12" s="18"/>
      <c r="P12" s="18"/>
      <c r="Q12" s="18"/>
      <c r="R12" s="18"/>
      <c r="S12" s="18"/>
      <c r="T12" s="18"/>
      <c r="U12" s="18"/>
      <c r="V12" s="18"/>
    </row>
    <row r="13" spans="2:22" ht="27.75" thickBot="1" x14ac:dyDescent="0.25">
      <c r="B13" s="29" t="s">
        <v>267</v>
      </c>
      <c r="C13" s="29" t="s">
        <v>268</v>
      </c>
      <c r="D13" s="531" t="s">
        <v>269</v>
      </c>
      <c r="E13" s="532" t="s">
        <v>270</v>
      </c>
      <c r="F13" s="532" t="s">
        <v>271</v>
      </c>
      <c r="G13" s="533" t="s">
        <v>272</v>
      </c>
      <c r="H13" s="531" t="s">
        <v>269</v>
      </c>
      <c r="I13" s="532" t="s">
        <v>270</v>
      </c>
      <c r="J13" s="532" t="s">
        <v>271</v>
      </c>
      <c r="K13" s="533" t="s">
        <v>272</v>
      </c>
      <c r="O13" s="18"/>
      <c r="P13" s="18"/>
      <c r="Q13" s="18"/>
      <c r="R13" s="18"/>
      <c r="S13" s="18"/>
      <c r="T13" s="18"/>
      <c r="U13" s="18"/>
      <c r="V13" s="18"/>
    </row>
    <row r="14" spans="2:22" ht="27.75" thickBot="1" x14ac:dyDescent="0.25">
      <c r="B14" s="199"/>
      <c r="C14" s="199"/>
      <c r="D14" s="531" t="s">
        <v>273</v>
      </c>
      <c r="E14" s="532" t="s">
        <v>274</v>
      </c>
      <c r="F14" s="532" t="s">
        <v>273</v>
      </c>
      <c r="G14" s="533" t="s">
        <v>274</v>
      </c>
      <c r="H14" s="531"/>
      <c r="I14" s="532"/>
      <c r="J14" s="532"/>
      <c r="K14" s="533"/>
      <c r="O14" s="18"/>
      <c r="P14" s="18"/>
      <c r="Q14" s="18"/>
      <c r="R14" s="18"/>
      <c r="S14" s="18"/>
      <c r="T14" s="18"/>
      <c r="U14" s="18"/>
      <c r="V14" s="18"/>
    </row>
    <row r="15" spans="2:22" ht="14.25" thickBot="1" x14ac:dyDescent="0.25">
      <c r="B15" s="199"/>
      <c r="C15" s="199"/>
      <c r="D15" s="534" t="s">
        <v>275</v>
      </c>
      <c r="E15" s="535" t="s">
        <v>275</v>
      </c>
      <c r="F15" s="535" t="s">
        <v>276</v>
      </c>
      <c r="G15" s="536" t="s">
        <v>276</v>
      </c>
      <c r="H15" s="534"/>
      <c r="I15" s="535"/>
      <c r="J15" s="535"/>
      <c r="K15" s="536"/>
      <c r="O15" s="18"/>
      <c r="P15" s="18"/>
      <c r="Q15" s="18"/>
      <c r="R15" s="18"/>
      <c r="S15" s="18"/>
      <c r="T15" s="18"/>
      <c r="U15" s="18"/>
      <c r="V15" s="18"/>
    </row>
    <row r="16" spans="2:22" ht="13.5" hidden="1" x14ac:dyDescent="0.25">
      <c r="B16" s="31">
        <v>2020</v>
      </c>
      <c r="C16" s="197" t="s">
        <v>277</v>
      </c>
      <c r="D16" s="255" cm="1">
        <f t="array" aca="1" ref="D16" ca="1">_xlfn.XLOOKUP(D$13,INDIRECT("'"&amp;$B16&amp;" EI'!$B$6:$B$53"),_xlfn.XLOOKUP($C$10,INDIRECT("'"&amp;$B16&amp;" EI'!$D$4:$Z$4"),INDIRECT("'"&amp;$B16&amp;" EI'!$D$6:$Z$53")))*_xlfn.XLOOKUP($B16&amp;D$15,'Gas Useage'!$A$4:$A$15&amp;'Gas Useage'!$B$4:$B$15,_xlfn.XLOOKUP($C16&amp;D$14,'Gas Useage'!$C$2:$AB$2&amp;'Gas Useage'!$C$3:$AB$3,'Gas Useage'!$C$4:$AB$15))/_xlfn.XLOOKUP($B16&amp;D$15,'Gas Useage'!$A$4:$A$15&amp;'Gas Useage'!$B$4:$B$15,_xlfn.XLOOKUP(D$14,'Gas Useage'!$AA$3:$AB$3,'Gas Useage'!$AA$4:$AB$15))</f>
        <v>2.3536693363676774E-2</v>
      </c>
      <c r="E16" s="255" cm="1">
        <f t="array" aca="1" ref="E16" ca="1">_xlfn.XLOOKUP(E$13,INDIRECT("'"&amp;$B16&amp;" EI'!$B$6:$B$53"),_xlfn.XLOOKUP($C$10,INDIRECT("'"&amp;$B16&amp;" EI'!$D$4:$Z$4"),INDIRECT("'"&amp;$B16&amp;" EI'!$D$6:$Z$53")))*_xlfn.XLOOKUP($B16&amp;E$15,'Gas Useage'!$A$4:$A$15&amp;'Gas Useage'!$B$4:$B$15,_xlfn.XLOOKUP($C16&amp;E$14,'Gas Useage'!$C$2:$AB$2&amp;'Gas Useage'!$C$3:$AB$3,'Gas Useage'!$C$4:$AB$15))/_xlfn.XLOOKUP($B16&amp;E$15,'Gas Useage'!$A$4:$A$15&amp;'Gas Useage'!$B$4:$B$15,_xlfn.XLOOKUP(E$14,'Gas Useage'!$AA$3:$AB$3,'Gas Useage'!$AA$4:$AB$15))</f>
        <v>2.9536695789275746E-3</v>
      </c>
      <c r="F16" s="255" cm="1">
        <f t="array" aca="1" ref="F16" ca="1">_xlfn.XLOOKUP(F$13,INDIRECT("'"&amp;$B16&amp;" EI'!$B$6:$B$53"),_xlfn.XLOOKUP($C$10,INDIRECT("'"&amp;$B16&amp;" EI'!$D$4:$Z$4"),INDIRECT("'"&amp;$B16&amp;" EI'!$D$6:$Z$53")))*_xlfn.XLOOKUP($B16&amp;F$15,'Gas Useage'!$A$4:$A$15&amp;'Gas Useage'!$B$4:$B$15,_xlfn.XLOOKUP($C16&amp;F$14,'Gas Useage'!$C$2:$AB$2&amp;'Gas Useage'!$C$3:$AB$3,'Gas Useage'!$C$4:$AB$15))/_xlfn.XLOOKUP($B16&amp;F$15,'Gas Useage'!$A$4:$A$15&amp;'Gas Useage'!$B$4:$B$15,_xlfn.XLOOKUP(F$14,'Gas Useage'!$AA$3:$AB$3,'Gas Useage'!$AA$4:$AB$15))</f>
        <v>3.0812981739453283E-2</v>
      </c>
      <c r="G16" s="255" cm="1">
        <f t="array" aca="1" ref="G16" ca="1">_xlfn.XLOOKUP(G$13,INDIRECT("'"&amp;$B16&amp;" EI'!$B$6:$B$53"),_xlfn.XLOOKUP($C$10,INDIRECT("'"&amp;$B16&amp;" EI'!$D$4:$Z$4"),INDIRECT("'"&amp;$B16&amp;" EI'!$D$6:$Z$53")))*_xlfn.XLOOKUP($B16&amp;G$15,'Gas Useage'!$A$4:$A$15&amp;'Gas Useage'!$B$4:$B$15,_xlfn.XLOOKUP($C16&amp;G$14,'Gas Useage'!$C$2:$AB$2&amp;'Gas Useage'!$C$3:$AB$3,'Gas Useage'!$C$4:$AB$15))/_xlfn.XLOOKUP($B16&amp;G$15,'Gas Useage'!$A$4:$A$15&amp;'Gas Useage'!$B$4:$B$15,_xlfn.XLOOKUP(G$14,'Gas Useage'!$AA$3:$AB$3,'Gas Useage'!$AA$4:$AB$15))</f>
        <v>3.8667864424969836E-3</v>
      </c>
      <c r="H16" s="256" t="s">
        <v>278</v>
      </c>
      <c r="I16" s="256" t="s">
        <v>278</v>
      </c>
      <c r="J16" s="256" t="s">
        <v>278</v>
      </c>
      <c r="K16" s="257" t="s">
        <v>278</v>
      </c>
      <c r="N16" s="258"/>
      <c r="O16" s="18"/>
      <c r="P16" s="18"/>
      <c r="Q16" s="18"/>
      <c r="R16" s="18"/>
      <c r="S16" s="18"/>
      <c r="T16" s="18"/>
      <c r="U16" s="18"/>
      <c r="V16" s="18"/>
    </row>
    <row r="17" spans="2:22" ht="13.5" hidden="1" x14ac:dyDescent="0.25">
      <c r="B17" s="32">
        <v>2020</v>
      </c>
      <c r="C17" s="198" t="s">
        <v>279</v>
      </c>
      <c r="D17" s="259" cm="1">
        <f t="array" aca="1" ref="D17" ca="1">_xlfn.XLOOKUP(D$13,INDIRECT("'"&amp;$B17&amp;" EI'!$B$6:$B$53"),_xlfn.XLOOKUP($C$10,INDIRECT("'"&amp;$B17&amp;" EI'!$D$4:$Z$4"),INDIRECT("'"&amp;$B17&amp;" EI'!$D$6:$Z$53")))*_xlfn.XLOOKUP($B17&amp;D$15,'Gas Useage'!$A$4:$A$15&amp;'Gas Useage'!$B$4:$B$15,_xlfn.XLOOKUP($C17&amp;D$14,'Gas Useage'!$C$2:$AB$2&amp;'Gas Useage'!$C$3:$AB$3,'Gas Useage'!$C$4:$AB$15))/_xlfn.XLOOKUP($B17&amp;D$15,'Gas Useage'!$A$4:$A$15&amp;'Gas Useage'!$B$4:$B$15,_xlfn.XLOOKUP(D$14,'Gas Useage'!$AA$3:$AB$3,'Gas Useage'!$AA$4:$AB$15))</f>
        <v>3.9018872561361329E-2</v>
      </c>
      <c r="E17" s="259" cm="1">
        <f t="array" aca="1" ref="E17" ca="1">_xlfn.XLOOKUP(E$13,INDIRECT("'"&amp;$B17&amp;" EI'!$B$6:$B$53"),_xlfn.XLOOKUP($C$10,INDIRECT("'"&amp;$B17&amp;" EI'!$D$4:$Z$4"),INDIRECT("'"&amp;$B17&amp;" EI'!$D$6:$Z$53")))*_xlfn.XLOOKUP($B17&amp;E$15,'Gas Useage'!$A$4:$A$15&amp;'Gas Useage'!$B$4:$B$15,_xlfn.XLOOKUP($C17&amp;E$14,'Gas Useage'!$C$2:$AB$2&amp;'Gas Useage'!$C$3:$AB$3,'Gas Useage'!$C$4:$AB$15))/_xlfn.XLOOKUP($B17&amp;E$15,'Gas Useage'!$A$4:$A$15&amp;'Gas Useage'!$B$4:$B$15,_xlfn.XLOOKUP(E$14,'Gas Useage'!$AA$3:$AB$3,'Gas Useage'!$AA$4:$AB$15))</f>
        <v>6.1294750287570077E-3</v>
      </c>
      <c r="F17" s="259" cm="1">
        <f t="array" aca="1" ref="F17" ca="1">_xlfn.XLOOKUP(F$13,INDIRECT("'"&amp;$B17&amp;" EI'!$B$6:$B$53"),_xlfn.XLOOKUP($C$10,INDIRECT("'"&amp;$B17&amp;" EI'!$D$4:$Z$4"),INDIRECT("'"&amp;$B17&amp;" EI'!$D$6:$Z$53")))*_xlfn.XLOOKUP($B17&amp;F$15,'Gas Useage'!$A$4:$A$15&amp;'Gas Useage'!$B$4:$B$15,_xlfn.XLOOKUP($C17&amp;F$14,'Gas Useage'!$C$2:$AB$2&amp;'Gas Useage'!$C$3:$AB$3,'Gas Useage'!$C$4:$AB$15))/_xlfn.XLOOKUP($B17&amp;F$15,'Gas Useage'!$A$4:$A$15&amp;'Gas Useage'!$B$4:$B$15,_xlfn.XLOOKUP(F$14,'Gas Useage'!$AA$3:$AB$3,'Gas Useage'!$AA$4:$AB$15))</f>
        <v>3.1823738743349074E-2</v>
      </c>
      <c r="G17" s="259" cm="1">
        <f t="array" aca="1" ref="G17" ca="1">_xlfn.XLOOKUP(G$13,INDIRECT("'"&amp;$B17&amp;" EI'!$B$6:$B$53"),_xlfn.XLOOKUP($C$10,INDIRECT("'"&amp;$B17&amp;" EI'!$D$4:$Z$4"),INDIRECT("'"&amp;$B17&amp;" EI'!$D$6:$Z$53")))*_xlfn.XLOOKUP($B17&amp;G$15,'Gas Useage'!$A$4:$A$15&amp;'Gas Useage'!$B$4:$B$15,_xlfn.XLOOKUP($C17&amp;G$14,'Gas Useage'!$C$2:$AB$2&amp;'Gas Useage'!$C$3:$AB$3,'Gas Useage'!$C$4:$AB$15))/_xlfn.XLOOKUP($B17&amp;G$15,'Gas Useage'!$A$4:$A$15&amp;'Gas Useage'!$B$4:$B$15,_xlfn.XLOOKUP(G$14,'Gas Useage'!$AA$3:$AB$3,'Gas Useage'!$AA$4:$AB$15))</f>
        <v>4.9991913949406956E-3</v>
      </c>
      <c r="H17" s="260" t="s">
        <v>278</v>
      </c>
      <c r="I17" s="260" t="s">
        <v>278</v>
      </c>
      <c r="J17" s="260" t="s">
        <v>278</v>
      </c>
      <c r="K17" s="261" t="s">
        <v>278</v>
      </c>
      <c r="N17" s="258"/>
      <c r="O17" s="18"/>
      <c r="P17" s="18"/>
      <c r="Q17" s="18"/>
      <c r="R17" s="18"/>
      <c r="S17" s="18"/>
      <c r="T17" s="18"/>
      <c r="U17" s="18"/>
      <c r="V17" s="18"/>
    </row>
    <row r="18" spans="2:22" ht="13.5" hidden="1" x14ac:dyDescent="0.25">
      <c r="B18" s="32">
        <v>2020</v>
      </c>
      <c r="C18" s="198" t="s">
        <v>280</v>
      </c>
      <c r="D18" s="259" cm="1">
        <f t="array" aca="1" ref="D18" ca="1">_xlfn.XLOOKUP(D$13,INDIRECT("'"&amp;$B18&amp;" EI'!$B$6:$B$53"),_xlfn.XLOOKUP($C$10,INDIRECT("'"&amp;$B18&amp;" EI'!$D$4:$Z$4"),INDIRECT("'"&amp;$B18&amp;" EI'!$D$6:$Z$53")))*_xlfn.XLOOKUP($B18&amp;D$15,'Gas Useage'!$A$4:$A$15&amp;'Gas Useage'!$B$4:$B$15,_xlfn.XLOOKUP($C18&amp;D$14,'Gas Useage'!$C$2:$AB$2&amp;'Gas Useage'!$C$3:$AB$3,'Gas Useage'!$C$4:$AB$15))/_xlfn.XLOOKUP($B18&amp;D$15,'Gas Useage'!$A$4:$A$15&amp;'Gas Useage'!$B$4:$B$15,_xlfn.XLOOKUP(D$14,'Gas Useage'!$AA$3:$AB$3,'Gas Useage'!$AA$4:$AB$15))</f>
        <v>3.982627596919483E-2</v>
      </c>
      <c r="E18" s="259" cm="1">
        <f t="array" aca="1" ref="E18" ca="1">_xlfn.XLOOKUP(E$13,INDIRECT("'"&amp;$B18&amp;" EI'!$B$6:$B$53"),_xlfn.XLOOKUP($C$10,INDIRECT("'"&amp;$B18&amp;" EI'!$D$4:$Z$4"),INDIRECT("'"&amp;$B18&amp;" EI'!$D$6:$Z$53")))*_xlfn.XLOOKUP($B18&amp;E$15,'Gas Useage'!$A$4:$A$15&amp;'Gas Useage'!$B$4:$B$15,_xlfn.XLOOKUP($C18&amp;E$14,'Gas Useage'!$C$2:$AB$2&amp;'Gas Useage'!$C$3:$AB$3,'Gas Useage'!$C$4:$AB$15))/_xlfn.XLOOKUP($B18&amp;E$15,'Gas Useage'!$A$4:$A$15&amp;'Gas Useage'!$B$4:$B$15,_xlfn.XLOOKUP(E$14,'Gas Useage'!$AA$3:$AB$3,'Gas Useage'!$AA$4:$AB$15))</f>
        <v>6.5343247585595279E-3</v>
      </c>
      <c r="F18" s="259" cm="1">
        <f t="array" aca="1" ref="F18" ca="1">_xlfn.XLOOKUP(F$13,INDIRECT("'"&amp;$B18&amp;" EI'!$B$6:$B$53"),_xlfn.XLOOKUP($C$10,INDIRECT("'"&amp;$B18&amp;" EI'!$D$4:$Z$4"),INDIRECT("'"&amp;$B18&amp;" EI'!$D$6:$Z$53")))*_xlfn.XLOOKUP($B18&amp;F$15,'Gas Useage'!$A$4:$A$15&amp;'Gas Useage'!$B$4:$B$15,_xlfn.XLOOKUP($C18&amp;F$14,'Gas Useage'!$C$2:$AB$2&amp;'Gas Useage'!$C$3:$AB$3,'Gas Useage'!$C$4:$AB$15))/_xlfn.XLOOKUP($B18&amp;F$15,'Gas Useage'!$A$4:$A$15&amp;'Gas Useage'!$B$4:$B$15,_xlfn.XLOOKUP(F$14,'Gas Useage'!$AA$3:$AB$3,'Gas Useage'!$AA$4:$AB$15))</f>
        <v>2.4755921825543512E-2</v>
      </c>
      <c r="G18" s="259" cm="1">
        <f t="array" aca="1" ref="G18" ca="1">_xlfn.XLOOKUP(G$13,INDIRECT("'"&amp;$B18&amp;" EI'!$B$6:$B$53"),_xlfn.XLOOKUP($C$10,INDIRECT("'"&amp;$B18&amp;" EI'!$D$4:$Z$4"),INDIRECT("'"&amp;$B18&amp;" EI'!$D$6:$Z$53")))*_xlfn.XLOOKUP($B18&amp;G$15,'Gas Useage'!$A$4:$A$15&amp;'Gas Useage'!$B$4:$B$15,_xlfn.XLOOKUP($C18&amp;G$14,'Gas Useage'!$C$2:$AB$2&amp;'Gas Useage'!$C$3:$AB$3,'Gas Useage'!$C$4:$AB$15))/_xlfn.XLOOKUP($B18&amp;G$15,'Gas Useage'!$A$4:$A$15&amp;'Gas Useage'!$B$4:$B$15,_xlfn.XLOOKUP(G$14,'Gas Useage'!$AA$3:$AB$3,'Gas Useage'!$AA$4:$AB$15))</f>
        <v>4.0617212874920882E-3</v>
      </c>
      <c r="H18" s="260" t="s">
        <v>278</v>
      </c>
      <c r="I18" s="260" t="s">
        <v>278</v>
      </c>
      <c r="J18" s="260" t="s">
        <v>278</v>
      </c>
      <c r="K18" s="261" t="s">
        <v>278</v>
      </c>
      <c r="N18" s="258"/>
      <c r="O18" s="18"/>
      <c r="P18" s="18"/>
      <c r="Q18" s="18"/>
      <c r="R18" s="18"/>
      <c r="S18" s="18"/>
      <c r="T18" s="18"/>
      <c r="U18" s="18"/>
      <c r="V18" s="18"/>
    </row>
    <row r="19" spans="2:22" ht="13.5" hidden="1" x14ac:dyDescent="0.25">
      <c r="B19" s="32">
        <v>2020</v>
      </c>
      <c r="C19" s="198" t="s">
        <v>281</v>
      </c>
      <c r="D19" s="259" cm="1">
        <f t="array" aca="1" ref="D19" ca="1">_xlfn.XLOOKUP(D$13,INDIRECT("'"&amp;$B19&amp;" EI'!$B$6:$B$53"),_xlfn.XLOOKUP($C$10,INDIRECT("'"&amp;$B19&amp;" EI'!$D$4:$Z$4"),INDIRECT("'"&amp;$B19&amp;" EI'!$D$6:$Z$53")))*_xlfn.XLOOKUP($B19&amp;D$15,'Gas Useage'!$A$4:$A$15&amp;'Gas Useage'!$B$4:$B$15,_xlfn.XLOOKUP($C19&amp;D$14,'Gas Useage'!$C$2:$AB$2&amp;'Gas Useage'!$C$3:$AB$3,'Gas Useage'!$C$4:$AB$15))/_xlfn.XLOOKUP($B19&amp;D$15,'Gas Useage'!$A$4:$A$15&amp;'Gas Useage'!$B$4:$B$15,_xlfn.XLOOKUP(D$14,'Gas Useage'!$AA$3:$AB$3,'Gas Useage'!$AA$4:$AB$15))</f>
        <v>1.5432619491929794E-2</v>
      </c>
      <c r="E19" s="259" cm="1">
        <f t="array" aca="1" ref="E19" ca="1">_xlfn.XLOOKUP(E$13,INDIRECT("'"&amp;$B19&amp;" EI'!$B$6:$B$53"),_xlfn.XLOOKUP($C$10,INDIRECT("'"&amp;$B19&amp;" EI'!$D$4:$Z$4"),INDIRECT("'"&amp;$B19&amp;" EI'!$D$6:$Z$53")))*_xlfn.XLOOKUP($B19&amp;E$15,'Gas Useage'!$A$4:$A$15&amp;'Gas Useage'!$B$4:$B$15,_xlfn.XLOOKUP($C19&amp;E$14,'Gas Useage'!$C$2:$AB$2&amp;'Gas Useage'!$C$3:$AB$3,'Gas Useage'!$C$4:$AB$15))/_xlfn.XLOOKUP($B19&amp;E$15,'Gas Useage'!$A$4:$A$15&amp;'Gas Useage'!$B$4:$B$15,_xlfn.XLOOKUP(E$14,'Gas Useage'!$AA$3:$AB$3,'Gas Useage'!$AA$4:$AB$15))</f>
        <v>2.5911922233294916E-3</v>
      </c>
      <c r="F19" s="259" cm="1">
        <f t="array" aca="1" ref="F19" ca="1">_xlfn.XLOOKUP(F$13,INDIRECT("'"&amp;$B19&amp;" EI'!$B$6:$B$53"),_xlfn.XLOOKUP($C$10,INDIRECT("'"&amp;$B19&amp;" EI'!$D$4:$Z$4"),INDIRECT("'"&amp;$B19&amp;" EI'!$D$6:$Z$53")))*_xlfn.XLOOKUP($B19&amp;F$15,'Gas Useage'!$A$4:$A$15&amp;'Gas Useage'!$B$4:$B$15,_xlfn.XLOOKUP($C19&amp;F$14,'Gas Useage'!$C$2:$AB$2&amp;'Gas Useage'!$C$3:$AB$3,'Gas Useage'!$C$4:$AB$15))/_xlfn.XLOOKUP($B19&amp;F$15,'Gas Useage'!$A$4:$A$15&amp;'Gas Useage'!$B$4:$B$15,_xlfn.XLOOKUP(F$14,'Gas Useage'!$AA$3:$AB$3,'Gas Useage'!$AA$4:$AB$15))</f>
        <v>1.5484181869116318E-2</v>
      </c>
      <c r="G19" s="259" cm="1">
        <f t="array" aca="1" ref="G19" ca="1">_xlfn.XLOOKUP(G$13,INDIRECT("'"&amp;$B19&amp;" EI'!$B$6:$B$53"),_xlfn.XLOOKUP($C$10,INDIRECT("'"&amp;$B19&amp;" EI'!$D$4:$Z$4"),INDIRECT("'"&amp;$B19&amp;" EI'!$D$6:$Z$53")))*_xlfn.XLOOKUP($B19&amp;G$15,'Gas Useage'!$A$4:$A$15&amp;'Gas Useage'!$B$4:$B$15,_xlfn.XLOOKUP($C19&amp;G$14,'Gas Useage'!$C$2:$AB$2&amp;'Gas Useage'!$C$3:$AB$3,'Gas Useage'!$C$4:$AB$15))/_xlfn.XLOOKUP($B19&amp;G$15,'Gas Useage'!$A$4:$A$15&amp;'Gas Useage'!$B$4:$B$15,_xlfn.XLOOKUP(G$14,'Gas Useage'!$AA$3:$AB$3,'Gas Useage'!$AA$4:$AB$15))</f>
        <v>2.5998497315932044E-3</v>
      </c>
      <c r="H19" s="260" t="s">
        <v>278</v>
      </c>
      <c r="I19" s="260" t="s">
        <v>278</v>
      </c>
      <c r="J19" s="260" t="s">
        <v>278</v>
      </c>
      <c r="K19" s="261" t="s">
        <v>278</v>
      </c>
      <c r="N19" s="258"/>
      <c r="O19" s="18"/>
      <c r="P19" s="18"/>
      <c r="Q19" s="18"/>
      <c r="R19" s="18"/>
      <c r="S19" s="18"/>
      <c r="T19" s="18"/>
      <c r="U19" s="18"/>
      <c r="V19" s="18"/>
    </row>
    <row r="20" spans="2:22" ht="13.5" hidden="1" x14ac:dyDescent="0.25">
      <c r="B20" s="32">
        <v>2020</v>
      </c>
      <c r="C20" s="198" t="s">
        <v>282</v>
      </c>
      <c r="D20" s="259" cm="1">
        <f t="array" aca="1" ref="D20" ca="1">_xlfn.XLOOKUP(D$13,INDIRECT("'"&amp;$B20&amp;" EI'!$B$6:$B$53"),_xlfn.XLOOKUP($C$10,INDIRECT("'"&amp;$B20&amp;" EI'!$D$4:$Z$4"),INDIRECT("'"&amp;$B20&amp;" EI'!$D$6:$Z$53")))*_xlfn.XLOOKUP($B20&amp;D$15,'Gas Useage'!$A$4:$A$15&amp;'Gas Useage'!$B$4:$B$15,_xlfn.XLOOKUP($C20&amp;D$14,'Gas Useage'!$C$2:$AB$2&amp;'Gas Useage'!$C$3:$AB$3,'Gas Useage'!$C$4:$AB$15))/_xlfn.XLOOKUP($B20&amp;D$15,'Gas Useage'!$A$4:$A$15&amp;'Gas Useage'!$B$4:$B$15,_xlfn.XLOOKUP(D$14,'Gas Useage'!$AA$3:$AB$3,'Gas Useage'!$AA$4:$AB$15))</f>
        <v>9.6727881637428687E-4</v>
      </c>
      <c r="E20" s="259" cm="1">
        <f t="array" aca="1" ref="E20" ca="1">_xlfn.XLOOKUP(E$13,INDIRECT("'"&amp;$B20&amp;" EI'!$B$6:$B$53"),_xlfn.XLOOKUP($C$10,INDIRECT("'"&amp;$B20&amp;" EI'!$D$4:$Z$4"),INDIRECT("'"&amp;$B20&amp;" EI'!$D$6:$Z$53")))*_xlfn.XLOOKUP($B20&amp;E$15,'Gas Useage'!$A$4:$A$15&amp;'Gas Useage'!$B$4:$B$15,_xlfn.XLOOKUP($C20&amp;E$14,'Gas Useage'!$C$2:$AB$2&amp;'Gas Useage'!$C$3:$AB$3,'Gas Useage'!$C$4:$AB$15))/_xlfn.XLOOKUP($B20&amp;E$15,'Gas Useage'!$A$4:$A$15&amp;'Gas Useage'!$B$4:$B$15,_xlfn.XLOOKUP(E$14,'Gas Useage'!$AA$3:$AB$3,'Gas Useage'!$AA$4:$AB$15))</f>
        <v>9.4648483144111055E-5</v>
      </c>
      <c r="F20" s="259" cm="1">
        <f t="array" aca="1" ref="F20" ca="1">_xlfn.XLOOKUP(F$13,INDIRECT("'"&amp;$B20&amp;" EI'!$B$6:$B$53"),_xlfn.XLOOKUP($C$10,INDIRECT("'"&amp;$B20&amp;" EI'!$D$4:$Z$4"),INDIRECT("'"&amp;$B20&amp;" EI'!$D$6:$Z$53")))*_xlfn.XLOOKUP($B20&amp;F$15,'Gas Useage'!$A$4:$A$15&amp;'Gas Useage'!$B$4:$B$15,_xlfn.XLOOKUP($C20&amp;F$14,'Gas Useage'!$C$2:$AB$2&amp;'Gas Useage'!$C$3:$AB$3,'Gas Useage'!$C$4:$AB$15))/_xlfn.XLOOKUP($B20&amp;F$15,'Gas Useage'!$A$4:$A$15&amp;'Gas Useage'!$B$4:$B$15,_xlfn.XLOOKUP(F$14,'Gas Useage'!$AA$3:$AB$3,'Gas Useage'!$AA$4:$AB$15))</f>
        <v>4.6727419161270714E-7</v>
      </c>
      <c r="G20" s="259" cm="1">
        <f t="array" aca="1" ref="G20" ca="1">_xlfn.XLOOKUP(G$13,INDIRECT("'"&amp;$B20&amp;" EI'!$B$6:$B$53"),_xlfn.XLOOKUP($C$10,INDIRECT("'"&amp;$B20&amp;" EI'!$D$4:$Z$4"),INDIRECT("'"&amp;$B20&amp;" EI'!$D$6:$Z$53")))*_xlfn.XLOOKUP($B20&amp;G$15,'Gas Useage'!$A$4:$A$15&amp;'Gas Useage'!$B$4:$B$15,_xlfn.XLOOKUP($C20&amp;G$14,'Gas Useage'!$C$2:$AB$2&amp;'Gas Useage'!$C$3:$AB$3,'Gas Useage'!$C$4:$AB$15))/_xlfn.XLOOKUP($B20&amp;G$15,'Gas Useage'!$A$4:$A$15&amp;'Gas Useage'!$B$4:$B$15,_xlfn.XLOOKUP(G$14,'Gas Useage'!$AA$3:$AB$3,'Gas Useage'!$AA$4:$AB$15))</f>
        <v>4.5722900884267867E-8</v>
      </c>
      <c r="H20" s="260" t="s">
        <v>278</v>
      </c>
      <c r="I20" s="260" t="s">
        <v>278</v>
      </c>
      <c r="J20" s="260" t="s">
        <v>278</v>
      </c>
      <c r="K20" s="261" t="s">
        <v>278</v>
      </c>
      <c r="N20" s="258"/>
      <c r="O20" s="18"/>
      <c r="P20" s="18"/>
      <c r="Q20" s="18"/>
      <c r="R20" s="18"/>
      <c r="S20" s="18"/>
      <c r="T20" s="18"/>
      <c r="U20" s="18"/>
      <c r="V20" s="18"/>
    </row>
    <row r="21" spans="2:22" ht="13.5" hidden="1" x14ac:dyDescent="0.25">
      <c r="B21" s="32">
        <v>2020</v>
      </c>
      <c r="C21" s="198" t="s">
        <v>283</v>
      </c>
      <c r="D21" s="259" cm="1">
        <f t="array" aca="1" ref="D21" ca="1">_xlfn.XLOOKUP(D$13,INDIRECT("'"&amp;$B21&amp;" EI'!$B$6:$B$53"),_xlfn.XLOOKUP($C$10,INDIRECT("'"&amp;$B21&amp;" EI'!$D$4:$Z$4"),INDIRECT("'"&amp;$B21&amp;" EI'!$D$6:$Z$53")))*_xlfn.XLOOKUP($B21&amp;D$15,'Gas Useage'!$A$4:$A$15&amp;'Gas Useage'!$B$4:$B$15,_xlfn.XLOOKUP($C21&amp;D$14,'Gas Useage'!$C$2:$AB$2&amp;'Gas Useage'!$C$3:$AB$3,'Gas Useage'!$C$4:$AB$15))/_xlfn.XLOOKUP($B21&amp;D$15,'Gas Useage'!$A$4:$A$15&amp;'Gas Useage'!$B$4:$B$15,_xlfn.XLOOKUP(D$14,'Gas Useage'!$AA$3:$AB$3,'Gas Useage'!$AA$4:$AB$15))</f>
        <v>0</v>
      </c>
      <c r="E21" s="259" cm="1">
        <f t="array" aca="1" ref="E21" ca="1">_xlfn.XLOOKUP(E$13,INDIRECT("'"&amp;$B21&amp;" EI'!$B$6:$B$53"),_xlfn.XLOOKUP($C$10,INDIRECT("'"&amp;$B21&amp;" EI'!$D$4:$Z$4"),INDIRECT("'"&amp;$B21&amp;" EI'!$D$6:$Z$53")))*_xlfn.XLOOKUP($B21&amp;E$15,'Gas Useage'!$A$4:$A$15&amp;'Gas Useage'!$B$4:$B$15,_xlfn.XLOOKUP($C21&amp;E$14,'Gas Useage'!$C$2:$AB$2&amp;'Gas Useage'!$C$3:$AB$3,'Gas Useage'!$C$4:$AB$15))/_xlfn.XLOOKUP($B21&amp;E$15,'Gas Useage'!$A$4:$A$15&amp;'Gas Useage'!$B$4:$B$15,_xlfn.XLOOKUP(E$14,'Gas Useage'!$AA$3:$AB$3,'Gas Useage'!$AA$4:$AB$15))</f>
        <v>0</v>
      </c>
      <c r="F21" s="259" cm="1">
        <f t="array" aca="1" ref="F21" ca="1">_xlfn.XLOOKUP(F$13,INDIRECT("'"&amp;$B21&amp;" EI'!$B$6:$B$53"),_xlfn.XLOOKUP($C$10,INDIRECT("'"&amp;$B21&amp;" EI'!$D$4:$Z$4"),INDIRECT("'"&amp;$B21&amp;" EI'!$D$6:$Z$53")))*_xlfn.XLOOKUP($B21&amp;F$15,'Gas Useage'!$A$4:$A$15&amp;'Gas Useage'!$B$4:$B$15,_xlfn.XLOOKUP($C21&amp;F$14,'Gas Useage'!$C$2:$AB$2&amp;'Gas Useage'!$C$3:$AB$3,'Gas Useage'!$C$4:$AB$15))/_xlfn.XLOOKUP($B21&amp;F$15,'Gas Useage'!$A$4:$A$15&amp;'Gas Useage'!$B$4:$B$15,_xlfn.XLOOKUP(F$14,'Gas Useage'!$AA$3:$AB$3,'Gas Useage'!$AA$4:$AB$15))</f>
        <v>0</v>
      </c>
      <c r="G21" s="259" cm="1">
        <f t="array" aca="1" ref="G21" ca="1">_xlfn.XLOOKUP(G$13,INDIRECT("'"&amp;$B21&amp;" EI'!$B$6:$B$53"),_xlfn.XLOOKUP($C$10,INDIRECT("'"&amp;$B21&amp;" EI'!$D$4:$Z$4"),INDIRECT("'"&amp;$B21&amp;" EI'!$D$6:$Z$53")))*_xlfn.XLOOKUP($B21&amp;G$15,'Gas Useage'!$A$4:$A$15&amp;'Gas Useage'!$B$4:$B$15,_xlfn.XLOOKUP($C21&amp;G$14,'Gas Useage'!$C$2:$AB$2&amp;'Gas Useage'!$C$3:$AB$3,'Gas Useage'!$C$4:$AB$15))/_xlfn.XLOOKUP($B21&amp;G$15,'Gas Useage'!$A$4:$A$15&amp;'Gas Useage'!$B$4:$B$15,_xlfn.XLOOKUP(G$14,'Gas Useage'!$AA$3:$AB$3,'Gas Useage'!$AA$4:$AB$15))</f>
        <v>0</v>
      </c>
      <c r="H21" s="260" t="s">
        <v>278</v>
      </c>
      <c r="I21" s="260" t="s">
        <v>278</v>
      </c>
      <c r="J21" s="260" t="s">
        <v>278</v>
      </c>
      <c r="K21" s="261" t="s">
        <v>278</v>
      </c>
      <c r="N21" s="258"/>
      <c r="O21" s="18"/>
      <c r="P21" s="18"/>
      <c r="Q21" s="18"/>
      <c r="R21" s="18"/>
      <c r="S21" s="18"/>
      <c r="T21" s="18"/>
      <c r="U21" s="18"/>
      <c r="V21" s="18"/>
    </row>
    <row r="22" spans="2:22" ht="13.5" hidden="1" x14ac:dyDescent="0.25">
      <c r="B22" s="32">
        <v>2020</v>
      </c>
      <c r="C22" s="198" t="s">
        <v>284</v>
      </c>
      <c r="D22" s="259" cm="1">
        <f t="array" aca="1" ref="D22" ca="1">_xlfn.XLOOKUP(D$13,INDIRECT("'"&amp;$B22&amp;" EI'!$B$6:$B$53"),_xlfn.XLOOKUP($C$10,INDIRECT("'"&amp;$B22&amp;" EI'!$D$4:$Z$4"),INDIRECT("'"&amp;$B22&amp;" EI'!$D$6:$Z$53")))*_xlfn.XLOOKUP($B22&amp;D$15,'Gas Useage'!$A$4:$A$15&amp;'Gas Useage'!$B$4:$B$15,_xlfn.XLOOKUP($C22&amp;D$14,'Gas Useage'!$C$2:$AB$2&amp;'Gas Useage'!$C$3:$AB$3,'Gas Useage'!$C$4:$AB$15))/_xlfn.XLOOKUP($B22&amp;D$15,'Gas Useage'!$A$4:$A$15&amp;'Gas Useage'!$B$4:$B$15,_xlfn.XLOOKUP(D$14,'Gas Useage'!$AA$3:$AB$3,'Gas Useage'!$AA$4:$AB$15))</f>
        <v>3.8887777311920661E-2</v>
      </c>
      <c r="E22" s="259" cm="1">
        <f t="array" aca="1" ref="E22" ca="1">_xlfn.XLOOKUP(E$13,INDIRECT("'"&amp;$B22&amp;" EI'!$B$6:$B$53"),_xlfn.XLOOKUP($C$10,INDIRECT("'"&amp;$B22&amp;" EI'!$D$4:$Z$4"),INDIRECT("'"&amp;$B22&amp;" EI'!$D$6:$Z$53")))*_xlfn.XLOOKUP($B22&amp;E$15,'Gas Useage'!$A$4:$A$15&amp;'Gas Useage'!$B$4:$B$15,_xlfn.XLOOKUP($C22&amp;E$14,'Gas Useage'!$C$2:$AB$2&amp;'Gas Useage'!$C$3:$AB$3,'Gas Useage'!$C$4:$AB$15))/_xlfn.XLOOKUP($B22&amp;E$15,'Gas Useage'!$A$4:$A$15&amp;'Gas Useage'!$B$4:$B$15,_xlfn.XLOOKUP(E$14,'Gas Useage'!$AA$3:$AB$3,'Gas Useage'!$AA$4:$AB$15))</f>
        <v>6.0700435626839782E-3</v>
      </c>
      <c r="F22" s="259" cm="1">
        <f t="array" aca="1" ref="F22" ca="1">_xlfn.XLOOKUP(F$13,INDIRECT("'"&amp;$B22&amp;" EI'!$B$6:$B$53"),_xlfn.XLOOKUP($C$10,INDIRECT("'"&amp;$B22&amp;" EI'!$D$4:$Z$4"),INDIRECT("'"&amp;$B22&amp;" EI'!$D$6:$Z$53")))*_xlfn.XLOOKUP($B22&amp;F$15,'Gas Useage'!$A$4:$A$15&amp;'Gas Useage'!$B$4:$B$15,_xlfn.XLOOKUP($C22&amp;F$14,'Gas Useage'!$C$2:$AB$2&amp;'Gas Useage'!$C$3:$AB$3,'Gas Useage'!$C$4:$AB$15))/_xlfn.XLOOKUP($B22&amp;F$15,'Gas Useage'!$A$4:$A$15&amp;'Gas Useage'!$B$4:$B$15,_xlfn.XLOOKUP(F$14,'Gas Useage'!$AA$3:$AB$3,'Gas Useage'!$AA$4:$AB$15))</f>
        <v>2.4443145285315968E-2</v>
      </c>
      <c r="G22" s="259" cm="1">
        <f t="array" aca="1" ref="G22" ca="1">_xlfn.XLOOKUP(G$13,INDIRECT("'"&amp;$B22&amp;" EI'!$B$6:$B$53"),_xlfn.XLOOKUP($C$10,INDIRECT("'"&amp;$B22&amp;" EI'!$D$4:$Z$4"),INDIRECT("'"&amp;$B22&amp;" EI'!$D$6:$Z$53")))*_xlfn.XLOOKUP($B22&amp;G$15,'Gas Useage'!$A$4:$A$15&amp;'Gas Useage'!$B$4:$B$15,_xlfn.XLOOKUP($C22&amp;G$14,'Gas Useage'!$C$2:$AB$2&amp;'Gas Useage'!$C$3:$AB$3,'Gas Useage'!$C$4:$AB$15))/_xlfn.XLOOKUP($B22&amp;G$15,'Gas Useage'!$A$4:$A$15&amp;'Gas Useage'!$B$4:$B$15,_xlfn.XLOOKUP(G$14,'Gas Useage'!$AA$3:$AB$3,'Gas Useage'!$AA$4:$AB$15))</f>
        <v>3.8153622281055346E-3</v>
      </c>
      <c r="H22" s="260" t="s">
        <v>278</v>
      </c>
      <c r="I22" s="260" t="s">
        <v>278</v>
      </c>
      <c r="J22" s="260" t="s">
        <v>278</v>
      </c>
      <c r="K22" s="261" t="s">
        <v>278</v>
      </c>
      <c r="N22" s="258"/>
      <c r="O22" s="18"/>
      <c r="P22" s="18"/>
      <c r="Q22" s="18"/>
      <c r="R22" s="18"/>
      <c r="S22" s="18"/>
      <c r="T22" s="18"/>
      <c r="U22" s="18"/>
      <c r="V22" s="18"/>
    </row>
    <row r="23" spans="2:22" ht="13.5" hidden="1" x14ac:dyDescent="0.25">
      <c r="B23" s="32">
        <v>2020</v>
      </c>
      <c r="C23" s="198" t="s">
        <v>285</v>
      </c>
      <c r="D23" s="259" cm="1">
        <f t="array" aca="1" ref="D23" ca="1">_xlfn.XLOOKUP(D$13,INDIRECT("'"&amp;$B23&amp;" EI'!$B$6:$B$53"),_xlfn.XLOOKUP($C$10,INDIRECT("'"&amp;$B23&amp;" EI'!$D$4:$Z$4"),INDIRECT("'"&amp;$B23&amp;" EI'!$D$6:$Z$53")))*_xlfn.XLOOKUP($B23&amp;D$15,'Gas Useage'!$A$4:$A$15&amp;'Gas Useage'!$B$4:$B$15,_xlfn.XLOOKUP($C23&amp;D$14,'Gas Useage'!$C$2:$AB$2&amp;'Gas Useage'!$C$3:$AB$3,'Gas Useage'!$C$4:$AB$15))/_xlfn.XLOOKUP($B23&amp;D$15,'Gas Useage'!$A$4:$A$15&amp;'Gas Useage'!$B$4:$B$15,_xlfn.XLOOKUP(D$14,'Gas Useage'!$AA$3:$AB$3,'Gas Useage'!$AA$4:$AB$15))</f>
        <v>3.9113503607996196E-2</v>
      </c>
      <c r="E23" s="259" cm="1">
        <f t="array" aca="1" ref="E23" ca="1">_xlfn.XLOOKUP(E$13,INDIRECT("'"&amp;$B23&amp;" EI'!$B$6:$B$53"),_xlfn.XLOOKUP($C$10,INDIRECT("'"&amp;$B23&amp;" EI'!$D$4:$Z$4"),INDIRECT("'"&amp;$B23&amp;" EI'!$D$6:$Z$53")))*_xlfn.XLOOKUP($B23&amp;E$15,'Gas Useage'!$A$4:$A$15&amp;'Gas Useage'!$B$4:$B$15,_xlfn.XLOOKUP($C23&amp;E$14,'Gas Useage'!$C$2:$AB$2&amp;'Gas Useage'!$C$3:$AB$3,'Gas Useage'!$C$4:$AB$15))/_xlfn.XLOOKUP($B23&amp;E$15,'Gas Useage'!$A$4:$A$15&amp;'Gas Useage'!$B$4:$B$15,_xlfn.XLOOKUP(E$14,'Gas Useage'!$AA$3:$AB$3,'Gas Useage'!$AA$4:$AB$15))</f>
        <v>4.6421825175396291E-3</v>
      </c>
      <c r="F23" s="259" cm="1">
        <f t="array" aca="1" ref="F23" ca="1">_xlfn.XLOOKUP(F$13,INDIRECT("'"&amp;$B23&amp;" EI'!$B$6:$B$53"),_xlfn.XLOOKUP($C$10,INDIRECT("'"&amp;$B23&amp;" EI'!$D$4:$Z$4"),INDIRECT("'"&amp;$B23&amp;" EI'!$D$6:$Z$53")))*_xlfn.XLOOKUP($B23&amp;F$15,'Gas Useage'!$A$4:$A$15&amp;'Gas Useage'!$B$4:$B$15,_xlfn.XLOOKUP($C23&amp;F$14,'Gas Useage'!$C$2:$AB$2&amp;'Gas Useage'!$C$3:$AB$3,'Gas Useage'!$C$4:$AB$15))/_xlfn.XLOOKUP($B23&amp;F$15,'Gas Useage'!$A$4:$A$15&amp;'Gas Useage'!$B$4:$B$15,_xlfn.XLOOKUP(F$14,'Gas Useage'!$AA$3:$AB$3,'Gas Useage'!$AA$4:$AB$15))</f>
        <v>4.5314847404126658E-3</v>
      </c>
      <c r="G23" s="259" cm="1">
        <f t="array" aca="1" ref="G23" ca="1">_xlfn.XLOOKUP(G$13,INDIRECT("'"&amp;$B23&amp;" EI'!$B$6:$B$53"),_xlfn.XLOOKUP($C$10,INDIRECT("'"&amp;$B23&amp;" EI'!$D$4:$Z$4"),INDIRECT("'"&amp;$B23&amp;" EI'!$D$6:$Z$53")))*_xlfn.XLOOKUP($B23&amp;G$15,'Gas Useage'!$A$4:$A$15&amp;'Gas Useage'!$B$4:$B$15,_xlfn.XLOOKUP($C23&amp;G$14,'Gas Useage'!$C$2:$AB$2&amp;'Gas Useage'!$C$3:$AB$3,'Gas Useage'!$C$4:$AB$15))/_xlfn.XLOOKUP($B23&amp;G$15,'Gas Useage'!$A$4:$A$15&amp;'Gas Useage'!$B$4:$B$15,_xlfn.XLOOKUP(G$14,'Gas Useage'!$AA$3:$AB$3,'Gas Useage'!$AA$4:$AB$15))</f>
        <v>5.378188425989224E-4</v>
      </c>
      <c r="H23" s="260" t="s">
        <v>278</v>
      </c>
      <c r="I23" s="260" t="s">
        <v>278</v>
      </c>
      <c r="J23" s="260" t="s">
        <v>278</v>
      </c>
      <c r="K23" s="261" t="s">
        <v>278</v>
      </c>
      <c r="N23" s="258"/>
      <c r="O23" s="18"/>
      <c r="P23" s="18"/>
      <c r="Q23" s="18"/>
      <c r="R23" s="18"/>
      <c r="S23" s="18"/>
      <c r="T23" s="18"/>
      <c r="U23" s="18"/>
      <c r="V23" s="18"/>
    </row>
    <row r="24" spans="2:22" ht="13.5" hidden="1" x14ac:dyDescent="0.25">
      <c r="B24" s="32">
        <v>2020</v>
      </c>
      <c r="C24" s="198" t="s">
        <v>286</v>
      </c>
      <c r="D24" s="259" cm="1">
        <f t="array" aca="1" ref="D24" ca="1">_xlfn.XLOOKUP(D$13,INDIRECT("'"&amp;$B24&amp;" EI'!$B$6:$B$53"),_xlfn.XLOOKUP($C$10,INDIRECT("'"&amp;$B24&amp;" EI'!$D$4:$Z$4"),INDIRECT("'"&amp;$B24&amp;" EI'!$D$6:$Z$53")))*_xlfn.XLOOKUP($B24&amp;D$15,'Gas Useage'!$A$4:$A$15&amp;'Gas Useage'!$B$4:$B$15,_xlfn.XLOOKUP($C24&amp;D$14,'Gas Useage'!$C$2:$AB$2&amp;'Gas Useage'!$C$3:$AB$3,'Gas Useage'!$C$4:$AB$15))/_xlfn.XLOOKUP($B24&amp;D$15,'Gas Useage'!$A$4:$A$15&amp;'Gas Useage'!$B$4:$B$15,_xlfn.XLOOKUP(D$14,'Gas Useage'!$AA$3:$AB$3,'Gas Useage'!$AA$4:$AB$15))</f>
        <v>1.0737535679909578E-2</v>
      </c>
      <c r="E24" s="259" cm="1">
        <f t="array" aca="1" ref="E24" ca="1">_xlfn.XLOOKUP(E$13,INDIRECT("'"&amp;$B24&amp;" EI'!$B$6:$B$53"),_xlfn.XLOOKUP($C$10,INDIRECT("'"&amp;$B24&amp;" EI'!$D$4:$Z$4"),INDIRECT("'"&amp;$B24&amp;" EI'!$D$6:$Z$53")))*_xlfn.XLOOKUP($B24&amp;E$15,'Gas Useage'!$A$4:$A$15&amp;'Gas Useage'!$B$4:$B$15,_xlfn.XLOOKUP($C24&amp;E$14,'Gas Useage'!$C$2:$AB$2&amp;'Gas Useage'!$C$3:$AB$3,'Gas Useage'!$C$4:$AB$15))/_xlfn.XLOOKUP($B24&amp;E$15,'Gas Useage'!$A$4:$A$15&amp;'Gas Useage'!$B$4:$B$15,_xlfn.XLOOKUP(E$14,'Gas Useage'!$AA$3:$AB$3,'Gas Useage'!$AA$4:$AB$15))</f>
        <v>2.0789050521646769E-3</v>
      </c>
      <c r="F24" s="259" cm="1">
        <f t="array" aca="1" ref="F24" ca="1">_xlfn.XLOOKUP(F$13,INDIRECT("'"&amp;$B24&amp;" EI'!$B$6:$B$53"),_xlfn.XLOOKUP($C$10,INDIRECT("'"&amp;$B24&amp;" EI'!$D$4:$Z$4"),INDIRECT("'"&amp;$B24&amp;" EI'!$D$6:$Z$53")))*_xlfn.XLOOKUP($B24&amp;F$15,'Gas Useage'!$A$4:$A$15&amp;'Gas Useage'!$B$4:$B$15,_xlfn.XLOOKUP($C24&amp;F$14,'Gas Useage'!$C$2:$AB$2&amp;'Gas Useage'!$C$3:$AB$3,'Gas Useage'!$C$4:$AB$15))/_xlfn.XLOOKUP($B24&amp;F$15,'Gas Useage'!$A$4:$A$15&amp;'Gas Useage'!$B$4:$B$15,_xlfn.XLOOKUP(F$14,'Gas Useage'!$AA$3:$AB$3,'Gas Useage'!$AA$4:$AB$15))</f>
        <v>7.3508477887625673E-5</v>
      </c>
      <c r="G24" s="259" cm="1">
        <f t="array" aca="1" ref="G24" ca="1">_xlfn.XLOOKUP(G$13,INDIRECT("'"&amp;$B24&amp;" EI'!$B$6:$B$53"),_xlfn.XLOOKUP($C$10,INDIRECT("'"&amp;$B24&amp;" EI'!$D$4:$Z$4"),INDIRECT("'"&amp;$B24&amp;" EI'!$D$6:$Z$53")))*_xlfn.XLOOKUP($B24&amp;G$15,'Gas Useage'!$A$4:$A$15&amp;'Gas Useage'!$B$4:$B$15,_xlfn.XLOOKUP($C24&amp;G$14,'Gas Useage'!$C$2:$AB$2&amp;'Gas Useage'!$C$3:$AB$3,'Gas Useage'!$C$4:$AB$15))/_xlfn.XLOOKUP($B24&amp;G$15,'Gas Useage'!$A$4:$A$15&amp;'Gas Useage'!$B$4:$B$15,_xlfn.XLOOKUP(G$14,'Gas Useage'!$AA$3:$AB$3,'Gas Useage'!$AA$4:$AB$15))</f>
        <v>1.4232050128918166E-5</v>
      </c>
      <c r="H24" s="260" t="s">
        <v>278</v>
      </c>
      <c r="I24" s="260" t="s">
        <v>278</v>
      </c>
      <c r="J24" s="260" t="s">
        <v>278</v>
      </c>
      <c r="K24" s="261" t="s">
        <v>278</v>
      </c>
      <c r="N24" s="258"/>
      <c r="O24" s="18"/>
      <c r="P24" s="18"/>
      <c r="Q24" s="18"/>
      <c r="R24" s="18"/>
      <c r="S24" s="18"/>
      <c r="T24" s="18"/>
      <c r="U24" s="18"/>
      <c r="V24" s="18"/>
    </row>
    <row r="25" spans="2:22" ht="13.5" x14ac:dyDescent="0.25">
      <c r="B25" s="32">
        <v>2020</v>
      </c>
      <c r="C25" s="494" t="s">
        <v>287</v>
      </c>
      <c r="D25" s="259" cm="1">
        <f t="array" aca="1" ref="D25" ca="1">_xlfn.XLOOKUP(D$13,INDIRECT("'"&amp;$B25&amp;" EI'!$B$6:$B$53"),_xlfn.XLOOKUP($C$10,INDIRECT("'"&amp;$B25&amp;" EI'!$D$4:$Z$4"),INDIRECT("'"&amp;$B25&amp;" EI'!$D$6:$Z$53")))*_xlfn.XLOOKUP($B25&amp;D$15,'Gas Useage'!$A$4:$A$15&amp;'Gas Useage'!$B$4:$B$15,_xlfn.XLOOKUP($C25&amp;D$14,'Gas Useage'!$C$2:$AB$2&amp;'Gas Useage'!$C$3:$AB$3,'Gas Useage'!$C$4:$AB$15))/_xlfn.XLOOKUP($B25&amp;D$15,'Gas Useage'!$A$4:$A$15&amp;'Gas Useage'!$B$4:$B$15,_xlfn.XLOOKUP(D$14,'Gas Useage'!$AA$3:$AB$3,'Gas Useage'!$AA$4:$AB$15))</f>
        <v>1.249007722656595E-2</v>
      </c>
      <c r="E25" s="259" cm="1">
        <f t="array" aca="1" ref="E25" ca="1">_xlfn.XLOOKUP(E$13,INDIRECT("'"&amp;$B25&amp;" EI'!$B$6:$B$53"),_xlfn.XLOOKUP($C$10,INDIRECT("'"&amp;$B25&amp;" EI'!$D$4:$Z$4"),INDIRECT("'"&amp;$B25&amp;" EI'!$D$6:$Z$53")))*_xlfn.XLOOKUP($B25&amp;E$15,'Gas Useage'!$A$4:$A$15&amp;'Gas Useage'!$B$4:$B$15,_xlfn.XLOOKUP($C25&amp;E$14,'Gas Useage'!$C$2:$AB$2&amp;'Gas Useage'!$C$3:$AB$3,'Gas Useage'!$C$4:$AB$15))/_xlfn.XLOOKUP($B25&amp;E$15,'Gas Useage'!$A$4:$A$15&amp;'Gas Useage'!$B$4:$B$15,_xlfn.XLOOKUP(E$14,'Gas Useage'!$AA$3:$AB$3,'Gas Useage'!$AA$4:$AB$15))</f>
        <v>1.6883824726038801E-3</v>
      </c>
      <c r="F25" s="259" cm="1">
        <f t="array" aca="1" ref="F25" ca="1">_xlfn.XLOOKUP(F$13,INDIRECT("'"&amp;$B25&amp;" EI'!$B$6:$B$53"),_xlfn.XLOOKUP($C$10,INDIRECT("'"&amp;$B25&amp;" EI'!$D$4:$Z$4"),INDIRECT("'"&amp;$B25&amp;" EI'!$D$6:$Z$53")))*_xlfn.XLOOKUP($B25&amp;F$15,'Gas Useage'!$A$4:$A$15&amp;'Gas Useage'!$B$4:$B$15,_xlfn.XLOOKUP($C25&amp;F$14,'Gas Useage'!$C$2:$AB$2&amp;'Gas Useage'!$C$3:$AB$3,'Gas Useage'!$C$4:$AB$15))/_xlfn.XLOOKUP($B25&amp;F$15,'Gas Useage'!$A$4:$A$15&amp;'Gas Useage'!$B$4:$B$15,_xlfn.XLOOKUP(F$14,'Gas Useage'!$AA$3:$AB$3,'Gas Useage'!$AA$4:$AB$15))</f>
        <v>2.8885274542064094E-2</v>
      </c>
      <c r="G25" s="259" cm="1">
        <f t="array" aca="1" ref="G25" ca="1">_xlfn.XLOOKUP(G$13,INDIRECT("'"&amp;$B25&amp;" EI'!$B$6:$B$53"),_xlfn.XLOOKUP($C$10,INDIRECT("'"&amp;$B25&amp;" EI'!$D$4:$Z$4"),INDIRECT("'"&amp;$B25&amp;" EI'!$D$6:$Z$53")))*_xlfn.XLOOKUP($B25&amp;G$15,'Gas Useage'!$A$4:$A$15&amp;'Gas Useage'!$B$4:$B$15,_xlfn.XLOOKUP($C25&amp;G$14,'Gas Useage'!$C$2:$AB$2&amp;'Gas Useage'!$C$3:$AB$3,'Gas Useage'!$C$4:$AB$15))/_xlfn.XLOOKUP($B25&amp;G$15,'Gas Useage'!$A$4:$A$15&amp;'Gas Useage'!$B$4:$B$15,_xlfn.XLOOKUP(G$14,'Gas Useage'!$AA$3:$AB$3,'Gas Useage'!$AA$4:$AB$15))</f>
        <v>3.904650897549405E-3</v>
      </c>
      <c r="H25" s="260" t="s">
        <v>278</v>
      </c>
      <c r="I25" s="260" t="s">
        <v>278</v>
      </c>
      <c r="J25" s="260" t="s">
        <v>278</v>
      </c>
      <c r="K25" s="261" t="s">
        <v>278</v>
      </c>
      <c r="N25" s="258"/>
      <c r="O25" s="18"/>
      <c r="P25" s="18"/>
      <c r="Q25" s="18"/>
      <c r="R25" s="18"/>
      <c r="S25" s="18"/>
      <c r="T25" s="18"/>
      <c r="U25" s="18"/>
      <c r="V25" s="18"/>
    </row>
    <row r="26" spans="2:22" ht="13.5" x14ac:dyDescent="0.25">
      <c r="B26" s="32">
        <v>2020</v>
      </c>
      <c r="C26" s="494" t="s">
        <v>288</v>
      </c>
      <c r="D26" s="259" cm="1">
        <f t="array" aca="1" ref="D26" ca="1">_xlfn.XLOOKUP(D$13,INDIRECT("'"&amp;$B26&amp;" EI'!$B$6:$B$53"),_xlfn.XLOOKUP($C$10,INDIRECT("'"&amp;$B26&amp;" EI'!$D$4:$Z$4"),INDIRECT("'"&amp;$B26&amp;" EI'!$D$6:$Z$53")))*_xlfn.XLOOKUP($B26&amp;D$15,'Gas Useage'!$A$4:$A$15&amp;'Gas Useage'!$B$4:$B$15,_xlfn.XLOOKUP($C26&amp;D$14,'Gas Useage'!$C$2:$AB$2&amp;'Gas Useage'!$C$3:$AB$3,'Gas Useage'!$C$4:$AB$15))/_xlfn.XLOOKUP($B26&amp;D$15,'Gas Useage'!$A$4:$A$15&amp;'Gas Useage'!$B$4:$B$15,_xlfn.XLOOKUP(D$14,'Gas Useage'!$AA$3:$AB$3,'Gas Useage'!$AA$4:$AB$15))</f>
        <v>2.693113063488687E-2</v>
      </c>
      <c r="E26" s="259" cm="1">
        <f t="array" aca="1" ref="E26" ca="1">_xlfn.XLOOKUP(E$13,INDIRECT("'"&amp;$B26&amp;" EI'!$B$6:$B$53"),_xlfn.XLOOKUP($C$10,INDIRECT("'"&amp;$B26&amp;" EI'!$D$4:$Z$4"),INDIRECT("'"&amp;$B26&amp;" EI'!$D$6:$Z$53")))*_xlfn.XLOOKUP($B26&amp;E$15,'Gas Useage'!$A$4:$A$15&amp;'Gas Useage'!$B$4:$B$15,_xlfn.XLOOKUP($C26&amp;E$14,'Gas Useage'!$C$2:$AB$2&amp;'Gas Useage'!$C$3:$AB$3,'Gas Useage'!$C$4:$AB$15))/_xlfn.XLOOKUP($B26&amp;E$15,'Gas Useage'!$A$4:$A$15&amp;'Gas Useage'!$B$4:$B$15,_xlfn.XLOOKUP(E$14,'Gas Useage'!$AA$3:$AB$3,'Gas Useage'!$AA$4:$AB$15))</f>
        <v>4.9182129457522768E-3</v>
      </c>
      <c r="F26" s="259" cm="1">
        <f t="array" aca="1" ref="F26" ca="1">_xlfn.XLOOKUP(F$13,INDIRECT("'"&amp;$B26&amp;" EI'!$B$6:$B$53"),_xlfn.XLOOKUP($C$10,INDIRECT("'"&amp;$B26&amp;" EI'!$D$4:$Z$4"),INDIRECT("'"&amp;$B26&amp;" EI'!$D$6:$Z$53")))*_xlfn.XLOOKUP($B26&amp;F$15,'Gas Useage'!$A$4:$A$15&amp;'Gas Useage'!$B$4:$B$15,_xlfn.XLOOKUP($C26&amp;F$14,'Gas Useage'!$C$2:$AB$2&amp;'Gas Useage'!$C$3:$AB$3,'Gas Useage'!$C$4:$AB$15))/_xlfn.XLOOKUP($B26&amp;F$15,'Gas Useage'!$A$4:$A$15&amp;'Gas Useage'!$B$4:$B$15,_xlfn.XLOOKUP(F$14,'Gas Useage'!$AA$3:$AB$3,'Gas Useage'!$AA$4:$AB$15))</f>
        <v>4.076588589329469E-2</v>
      </c>
      <c r="G26" s="259" cm="1">
        <f t="array" aca="1" ref="G26" ca="1">_xlfn.XLOOKUP(G$13,INDIRECT("'"&amp;$B26&amp;" EI'!$B$6:$B$53"),_xlfn.XLOOKUP($C$10,INDIRECT("'"&amp;$B26&amp;" EI'!$D$4:$Z$4"),INDIRECT("'"&amp;$B26&amp;" EI'!$D$6:$Z$53")))*_xlfn.XLOOKUP($B26&amp;G$15,'Gas Useage'!$A$4:$A$15&amp;'Gas Useage'!$B$4:$B$15,_xlfn.XLOOKUP($C26&amp;G$14,'Gas Useage'!$C$2:$AB$2&amp;'Gas Useage'!$C$3:$AB$3,'Gas Useage'!$C$4:$AB$15))/_xlfn.XLOOKUP($B26&amp;G$15,'Gas Useage'!$A$4:$A$15&amp;'Gas Useage'!$B$4:$B$15,_xlfn.XLOOKUP(G$14,'Gas Useage'!$AA$3:$AB$3,'Gas Useage'!$AA$4:$AB$15))</f>
        <v>7.4447415692877909E-3</v>
      </c>
      <c r="H26" s="260" t="s">
        <v>278</v>
      </c>
      <c r="I26" s="260" t="s">
        <v>278</v>
      </c>
      <c r="J26" s="260" t="s">
        <v>278</v>
      </c>
      <c r="K26" s="261" t="s">
        <v>278</v>
      </c>
      <c r="N26" s="258"/>
      <c r="O26" s="18"/>
      <c r="P26" s="18"/>
      <c r="Q26" s="18"/>
      <c r="R26" s="18"/>
      <c r="S26" s="18"/>
      <c r="T26" s="18"/>
      <c r="U26" s="18"/>
      <c r="V26" s="18"/>
    </row>
    <row r="27" spans="2:22" ht="13.5" x14ac:dyDescent="0.25">
      <c r="B27" s="32">
        <v>2020</v>
      </c>
      <c r="C27" s="494" t="s">
        <v>289</v>
      </c>
      <c r="D27" s="259" cm="1">
        <f t="array" aca="1" ref="D27" ca="1">_xlfn.XLOOKUP(D$13,INDIRECT("'"&amp;$B27&amp;" EI'!$B$6:$B$53"),_xlfn.XLOOKUP($C$10,INDIRECT("'"&amp;$B27&amp;" EI'!$D$4:$Z$4"),INDIRECT("'"&amp;$B27&amp;" EI'!$D$6:$Z$53")))*_xlfn.XLOOKUP($B27&amp;D$15,'Gas Useage'!$A$4:$A$15&amp;'Gas Useage'!$B$4:$B$15,_xlfn.XLOOKUP($C27&amp;D$14,'Gas Useage'!$C$2:$AB$2&amp;'Gas Useage'!$C$3:$AB$3,'Gas Useage'!$C$4:$AB$15))/_xlfn.XLOOKUP($B27&amp;D$15,'Gas Useage'!$A$4:$A$15&amp;'Gas Useage'!$B$4:$B$15,_xlfn.XLOOKUP(D$14,'Gas Useage'!$AA$3:$AB$3,'Gas Useage'!$AA$4:$AB$15))</f>
        <v>2.693113063488687E-2</v>
      </c>
      <c r="E27" s="259" cm="1">
        <f t="array" aca="1" ref="E27" ca="1">_xlfn.XLOOKUP(E$13,INDIRECT("'"&amp;$B27&amp;" EI'!$B$6:$B$53"),_xlfn.XLOOKUP($C$10,INDIRECT("'"&amp;$B27&amp;" EI'!$D$4:$Z$4"),INDIRECT("'"&amp;$B27&amp;" EI'!$D$6:$Z$53")))*_xlfn.XLOOKUP($B27&amp;E$15,'Gas Useage'!$A$4:$A$15&amp;'Gas Useage'!$B$4:$B$15,_xlfn.XLOOKUP($C27&amp;E$14,'Gas Useage'!$C$2:$AB$2&amp;'Gas Useage'!$C$3:$AB$3,'Gas Useage'!$C$4:$AB$15))/_xlfn.XLOOKUP($B27&amp;E$15,'Gas Useage'!$A$4:$A$15&amp;'Gas Useage'!$B$4:$B$15,_xlfn.XLOOKUP(E$14,'Gas Useage'!$AA$3:$AB$3,'Gas Useage'!$AA$4:$AB$15))</f>
        <v>4.9182129457522768E-3</v>
      </c>
      <c r="F27" s="259" cm="1">
        <f t="array" aca="1" ref="F27" ca="1">_xlfn.XLOOKUP(F$13,INDIRECT("'"&amp;$B27&amp;" EI'!$B$6:$B$53"),_xlfn.XLOOKUP($C$10,INDIRECT("'"&amp;$B27&amp;" EI'!$D$4:$Z$4"),INDIRECT("'"&amp;$B27&amp;" EI'!$D$6:$Z$53")))*_xlfn.XLOOKUP($B27&amp;F$15,'Gas Useage'!$A$4:$A$15&amp;'Gas Useage'!$B$4:$B$15,_xlfn.XLOOKUP($C27&amp;F$14,'Gas Useage'!$C$2:$AB$2&amp;'Gas Useage'!$C$3:$AB$3,'Gas Useage'!$C$4:$AB$15))/_xlfn.XLOOKUP($B27&amp;F$15,'Gas Useage'!$A$4:$A$15&amp;'Gas Useage'!$B$4:$B$15,_xlfn.XLOOKUP(F$14,'Gas Useage'!$AA$3:$AB$3,'Gas Useage'!$AA$4:$AB$15))</f>
        <v>4.076588589329469E-2</v>
      </c>
      <c r="G27" s="259" cm="1">
        <f t="array" aca="1" ref="G27" ca="1">_xlfn.XLOOKUP(G$13,INDIRECT("'"&amp;$B27&amp;" EI'!$B$6:$B$53"),_xlfn.XLOOKUP($C$10,INDIRECT("'"&amp;$B27&amp;" EI'!$D$4:$Z$4"),INDIRECT("'"&amp;$B27&amp;" EI'!$D$6:$Z$53")))*_xlfn.XLOOKUP($B27&amp;G$15,'Gas Useage'!$A$4:$A$15&amp;'Gas Useage'!$B$4:$B$15,_xlfn.XLOOKUP($C27&amp;G$14,'Gas Useage'!$C$2:$AB$2&amp;'Gas Useage'!$C$3:$AB$3,'Gas Useage'!$C$4:$AB$15))/_xlfn.XLOOKUP($B27&amp;G$15,'Gas Useage'!$A$4:$A$15&amp;'Gas Useage'!$B$4:$B$15,_xlfn.XLOOKUP(G$14,'Gas Useage'!$AA$3:$AB$3,'Gas Useage'!$AA$4:$AB$15))</f>
        <v>7.4447415692877909E-3</v>
      </c>
      <c r="H27" s="260" t="s">
        <v>278</v>
      </c>
      <c r="I27" s="260" t="s">
        <v>278</v>
      </c>
      <c r="J27" s="260" t="s">
        <v>278</v>
      </c>
      <c r="K27" s="261" t="s">
        <v>278</v>
      </c>
      <c r="N27" s="258"/>
      <c r="O27" s="18"/>
      <c r="P27" s="18"/>
      <c r="Q27" s="18"/>
      <c r="R27" s="18"/>
      <c r="S27" s="18"/>
      <c r="T27" s="18"/>
      <c r="U27" s="18"/>
      <c r="V27" s="18"/>
    </row>
    <row r="28" spans="2:22" ht="13.5" x14ac:dyDescent="0.25">
      <c r="B28" s="32">
        <v>2021</v>
      </c>
      <c r="C28" s="494" t="s">
        <v>277</v>
      </c>
      <c r="D28" s="259" cm="1">
        <f t="array" aca="1" ref="D28" ca="1">_xlfn.XLOOKUP(D$13,INDIRECT("'"&amp;$B28&amp;" EI'!$B$6:$B$53"),_xlfn.XLOOKUP($C$10,INDIRECT("'"&amp;$B28&amp;" EI'!$D$4:$Z$4"),INDIRECT("'"&amp;$B28&amp;" EI'!$D$6:$Z$53")))*_xlfn.XLOOKUP($B28&amp;D$15,'Gas Useage'!$A$4:$A$15&amp;'Gas Useage'!$B$4:$B$15,_xlfn.XLOOKUP($C28&amp;D$14,'Gas Useage'!$C$2:$AB$2&amp;'Gas Useage'!$C$3:$AB$3,'Gas Useage'!$C$4:$AB$15))/_xlfn.XLOOKUP($B28&amp;D$15,'Gas Useage'!$A$4:$A$15&amp;'Gas Useage'!$B$4:$B$15,_xlfn.XLOOKUP(D$14,'Gas Useage'!$AA$3:$AB$3,'Gas Useage'!$AA$4:$AB$15))</f>
        <v>3.9077143842242798E-2</v>
      </c>
      <c r="E28" s="259" cm="1">
        <f t="array" aca="1" ref="E28" ca="1">_xlfn.XLOOKUP(E$13,INDIRECT("'"&amp;$B28&amp;" EI'!$B$6:$B$53"),_xlfn.XLOOKUP($C$10,INDIRECT("'"&amp;$B28&amp;" EI'!$D$4:$Z$4"),INDIRECT("'"&amp;$B28&amp;" EI'!$D$6:$Z$53")))*_xlfn.XLOOKUP($B28&amp;E$15,'Gas Useage'!$A$4:$A$15&amp;'Gas Useage'!$B$4:$B$15,_xlfn.XLOOKUP($C28&amp;E$14,'Gas Useage'!$C$2:$AB$2&amp;'Gas Useage'!$C$3:$AB$3,'Gas Useage'!$C$4:$AB$15))/_xlfn.XLOOKUP($B28&amp;E$15,'Gas Useage'!$A$4:$A$15&amp;'Gas Useage'!$B$4:$B$15,_xlfn.XLOOKUP(E$14,'Gas Useage'!$AA$3:$AB$3,'Gas Useage'!$AA$4:$AB$15))</f>
        <v>2.3397587334248598E-3</v>
      </c>
      <c r="F28" s="259" cm="1">
        <f t="array" aca="1" ref="F28" ca="1">_xlfn.XLOOKUP(F$13,INDIRECT("'"&amp;$B28&amp;" EI'!$B$6:$B$53"),_xlfn.XLOOKUP($C$10,INDIRECT("'"&amp;$B28&amp;" EI'!$D$4:$Z$4"),INDIRECT("'"&amp;$B28&amp;" EI'!$D$6:$Z$53")))*_xlfn.XLOOKUP($B28&amp;F$15,'Gas Useage'!$A$4:$A$15&amp;'Gas Useage'!$B$4:$B$15,_xlfn.XLOOKUP($C28&amp;F$14,'Gas Useage'!$C$2:$AB$2&amp;'Gas Useage'!$C$3:$AB$3,'Gas Useage'!$C$4:$AB$15))/_xlfn.XLOOKUP($B28&amp;F$15,'Gas Useage'!$A$4:$A$15&amp;'Gas Useage'!$B$4:$B$15,_xlfn.XLOOKUP(F$14,'Gas Useage'!$AA$3:$AB$3,'Gas Useage'!$AA$4:$AB$15))</f>
        <v>4.8408670760661736E-2</v>
      </c>
      <c r="G28" s="259" cm="1">
        <f t="array" aca="1" ref="G28" ca="1">_xlfn.XLOOKUP(G$13,INDIRECT("'"&amp;$B28&amp;" EI'!$B$6:$B$53"),_xlfn.XLOOKUP($C$10,INDIRECT("'"&amp;$B28&amp;" EI'!$D$4:$Z$4"),INDIRECT("'"&amp;$B28&amp;" EI'!$D$6:$Z$53")))*_xlfn.XLOOKUP($B28&amp;G$15,'Gas Useage'!$A$4:$A$15&amp;'Gas Useage'!$B$4:$B$15,_xlfn.XLOOKUP($C28&amp;G$14,'Gas Useage'!$C$2:$AB$2&amp;'Gas Useage'!$C$3:$AB$3,'Gas Useage'!$C$4:$AB$15))/_xlfn.XLOOKUP($B28&amp;G$15,'Gas Useage'!$A$4:$A$15&amp;'Gas Useage'!$B$4:$B$15,_xlfn.XLOOKUP(G$14,'Gas Useage'!$AA$3:$AB$3,'Gas Useage'!$AA$4:$AB$15))</f>
        <v>2.8984874289432264E-3</v>
      </c>
      <c r="H28" s="260" t="s">
        <v>278</v>
      </c>
      <c r="I28" s="260" t="s">
        <v>278</v>
      </c>
      <c r="J28" s="260" t="s">
        <v>278</v>
      </c>
      <c r="K28" s="261" t="s">
        <v>278</v>
      </c>
      <c r="N28" s="258"/>
      <c r="O28" s="18"/>
      <c r="P28" s="18"/>
      <c r="Q28" s="18"/>
      <c r="R28" s="18"/>
      <c r="S28" s="18"/>
      <c r="T28" s="18"/>
      <c r="U28" s="18"/>
      <c r="V28" s="18"/>
    </row>
    <row r="29" spans="2:22" ht="13.5" x14ac:dyDescent="0.25">
      <c r="B29" s="32">
        <v>2021</v>
      </c>
      <c r="C29" s="494" t="s">
        <v>279</v>
      </c>
      <c r="D29" s="259" cm="1">
        <f t="array" aca="1" ref="D29" ca="1">_xlfn.XLOOKUP(D$13,INDIRECT("'"&amp;$B29&amp;" EI'!$B$6:$B$53"),_xlfn.XLOOKUP($C$10,INDIRECT("'"&amp;$B29&amp;" EI'!$D$4:$Z$4"),INDIRECT("'"&amp;$B29&amp;" EI'!$D$6:$Z$53")))*_xlfn.XLOOKUP($B29&amp;D$15,'Gas Useage'!$A$4:$A$15&amp;'Gas Useage'!$B$4:$B$15,_xlfn.XLOOKUP($C29&amp;D$14,'Gas Useage'!$C$2:$AB$2&amp;'Gas Useage'!$C$3:$AB$3,'Gas Useage'!$C$4:$AB$15))/_xlfn.XLOOKUP($B29&amp;D$15,'Gas Useage'!$A$4:$A$15&amp;'Gas Useage'!$B$4:$B$15,_xlfn.XLOOKUP(D$14,'Gas Useage'!$AA$3:$AB$3,'Gas Useage'!$AA$4:$AB$15))</f>
        <v>2.6521524568981134E-2</v>
      </c>
      <c r="E29" s="259" cm="1">
        <f t="array" aca="1" ref="E29" ca="1">_xlfn.XLOOKUP(E$13,INDIRECT("'"&amp;$B29&amp;" EI'!$B$6:$B$53"),_xlfn.XLOOKUP($C$10,INDIRECT("'"&amp;$B29&amp;" EI'!$D$4:$Z$4"),INDIRECT("'"&amp;$B29&amp;" EI'!$D$6:$Z$53")))*_xlfn.XLOOKUP($B29&amp;E$15,'Gas Useage'!$A$4:$A$15&amp;'Gas Useage'!$B$4:$B$15,_xlfn.XLOOKUP($C29&amp;E$14,'Gas Useage'!$C$2:$AB$2&amp;'Gas Useage'!$C$3:$AB$3,'Gas Useage'!$C$4:$AB$15))/_xlfn.XLOOKUP($B29&amp;E$15,'Gas Useage'!$A$4:$A$15&amp;'Gas Useage'!$B$4:$B$15,_xlfn.XLOOKUP(E$14,'Gas Useage'!$AA$3:$AB$3,'Gas Useage'!$AA$4:$AB$15))</f>
        <v>3.3852582161399396E-3</v>
      </c>
      <c r="F29" s="259" cm="1">
        <f t="array" aca="1" ref="F29" ca="1">_xlfn.XLOOKUP(F$13,INDIRECT("'"&amp;$B29&amp;" EI'!$B$6:$B$53"),_xlfn.XLOOKUP($C$10,INDIRECT("'"&amp;$B29&amp;" EI'!$D$4:$Z$4"),INDIRECT("'"&amp;$B29&amp;" EI'!$D$6:$Z$53")))*_xlfn.XLOOKUP($B29&amp;F$15,'Gas Useage'!$A$4:$A$15&amp;'Gas Useage'!$B$4:$B$15,_xlfn.XLOOKUP($C29&amp;F$14,'Gas Useage'!$C$2:$AB$2&amp;'Gas Useage'!$C$3:$AB$3,'Gas Useage'!$C$4:$AB$15))/_xlfn.XLOOKUP($B29&amp;F$15,'Gas Useage'!$A$4:$A$15&amp;'Gas Useage'!$B$4:$B$15,_xlfn.XLOOKUP(F$14,'Gas Useage'!$AA$3:$AB$3,'Gas Useage'!$AA$4:$AB$15))</f>
        <v>3.636552083947197E-2</v>
      </c>
      <c r="G29" s="259" cm="1">
        <f t="array" aca="1" ref="G29" ca="1">_xlfn.XLOOKUP(G$13,INDIRECT("'"&amp;$B29&amp;" EI'!$B$6:$B$53"),_xlfn.XLOOKUP($C$10,INDIRECT("'"&amp;$B29&amp;" EI'!$D$4:$Z$4"),INDIRECT("'"&amp;$B29&amp;" EI'!$D$6:$Z$53")))*_xlfn.XLOOKUP($B29&amp;G$15,'Gas Useage'!$A$4:$A$15&amp;'Gas Useage'!$B$4:$B$15,_xlfn.XLOOKUP($C29&amp;G$14,'Gas Useage'!$C$2:$AB$2&amp;'Gas Useage'!$C$3:$AB$3,'Gas Useage'!$C$4:$AB$15))/_xlfn.XLOOKUP($B29&amp;G$15,'Gas Useage'!$A$4:$A$15&amp;'Gas Useage'!$B$4:$B$15,_xlfn.XLOOKUP(G$14,'Gas Useage'!$AA$3:$AB$3,'Gas Useage'!$AA$4:$AB$15))</f>
        <v>4.6417647630262156E-3</v>
      </c>
      <c r="H29" s="260" t="s">
        <v>278</v>
      </c>
      <c r="I29" s="260" t="s">
        <v>278</v>
      </c>
      <c r="J29" s="260" t="s">
        <v>278</v>
      </c>
      <c r="K29" s="261" t="s">
        <v>278</v>
      </c>
      <c r="N29" s="258"/>
      <c r="O29" s="18"/>
      <c r="P29" s="18"/>
      <c r="Q29" s="18"/>
      <c r="R29" s="18"/>
      <c r="S29" s="18"/>
      <c r="T29" s="18"/>
      <c r="U29" s="18"/>
      <c r="V29" s="18"/>
    </row>
    <row r="30" spans="2:22" ht="13.5" x14ac:dyDescent="0.25">
      <c r="B30" s="32">
        <v>2021</v>
      </c>
      <c r="C30" s="494" t="s">
        <v>280</v>
      </c>
      <c r="D30" s="259" cm="1">
        <f t="array" aca="1" ref="D30" ca="1">_xlfn.XLOOKUP(D$13,INDIRECT("'"&amp;$B30&amp;" EI'!$B$6:$B$53"),_xlfn.XLOOKUP($C$10,INDIRECT("'"&amp;$B30&amp;" EI'!$D$4:$Z$4"),INDIRECT("'"&amp;$B30&amp;" EI'!$D$6:$Z$53")))*_xlfn.XLOOKUP($B30&amp;D$15,'Gas Useage'!$A$4:$A$15&amp;'Gas Useage'!$B$4:$B$15,_xlfn.XLOOKUP($C30&amp;D$14,'Gas Useage'!$C$2:$AB$2&amp;'Gas Useage'!$C$3:$AB$3,'Gas Useage'!$C$4:$AB$15))/_xlfn.XLOOKUP($B30&amp;D$15,'Gas Useage'!$A$4:$A$15&amp;'Gas Useage'!$B$4:$B$15,_xlfn.XLOOKUP(D$14,'Gas Useage'!$AA$3:$AB$3,'Gas Useage'!$AA$4:$AB$15))</f>
        <v>5.5435293939087388E-2</v>
      </c>
      <c r="E30" s="259" cm="1">
        <f t="array" aca="1" ref="E30" ca="1">_xlfn.XLOOKUP(E$13,INDIRECT("'"&amp;$B30&amp;" EI'!$B$6:$B$53"),_xlfn.XLOOKUP($C$10,INDIRECT("'"&amp;$B30&amp;" EI'!$D$4:$Z$4"),INDIRECT("'"&amp;$B30&amp;" EI'!$D$6:$Z$53")))*_xlfn.XLOOKUP($B30&amp;E$15,'Gas Useage'!$A$4:$A$15&amp;'Gas Useage'!$B$4:$B$15,_xlfn.XLOOKUP($C30&amp;E$14,'Gas Useage'!$C$2:$AB$2&amp;'Gas Useage'!$C$3:$AB$3,'Gas Useage'!$C$4:$AB$15))/_xlfn.XLOOKUP($B30&amp;E$15,'Gas Useage'!$A$4:$A$15&amp;'Gas Useage'!$B$4:$B$15,_xlfn.XLOOKUP(E$14,'Gas Useage'!$AA$3:$AB$3,'Gas Useage'!$AA$4:$AB$15))</f>
        <v>5.532289283784666E-3</v>
      </c>
      <c r="F30" s="259" cm="1">
        <f t="array" aca="1" ref="F30" ca="1">_xlfn.XLOOKUP(F$13,INDIRECT("'"&amp;$B30&amp;" EI'!$B$6:$B$53"),_xlfn.XLOOKUP($C$10,INDIRECT("'"&amp;$B30&amp;" EI'!$D$4:$Z$4"),INDIRECT("'"&amp;$B30&amp;" EI'!$D$6:$Z$53")))*_xlfn.XLOOKUP($B30&amp;F$15,'Gas Useage'!$A$4:$A$15&amp;'Gas Useage'!$B$4:$B$15,_xlfn.XLOOKUP($C30&amp;F$14,'Gas Useage'!$C$2:$AB$2&amp;'Gas Useage'!$C$3:$AB$3,'Gas Useage'!$C$4:$AB$15))/_xlfn.XLOOKUP($B30&amp;F$15,'Gas Useage'!$A$4:$A$15&amp;'Gas Useage'!$B$4:$B$15,_xlfn.XLOOKUP(F$14,'Gas Useage'!$AA$3:$AB$3,'Gas Useage'!$AA$4:$AB$15))</f>
        <v>3.8308484119234647E-2</v>
      </c>
      <c r="G30" s="259" cm="1">
        <f t="array" aca="1" ref="G30" ca="1">_xlfn.XLOOKUP(G$13,INDIRECT("'"&amp;$B30&amp;" EI'!$B$6:$B$53"),_xlfn.XLOOKUP($C$10,INDIRECT("'"&amp;$B30&amp;" EI'!$D$4:$Z$4"),INDIRECT("'"&amp;$B30&amp;" EI'!$D$6:$Z$53")))*_xlfn.XLOOKUP($B30&amp;G$15,'Gas Useage'!$A$4:$A$15&amp;'Gas Useage'!$B$4:$B$15,_xlfn.XLOOKUP($C30&amp;G$14,'Gas Useage'!$C$2:$AB$2&amp;'Gas Useage'!$C$3:$AB$3,'Gas Useage'!$C$4:$AB$15))/_xlfn.XLOOKUP($B30&amp;G$15,'Gas Useage'!$A$4:$A$15&amp;'Gas Useage'!$B$4:$B$15,_xlfn.XLOOKUP(G$14,'Gas Useage'!$AA$3:$AB$3,'Gas Useage'!$AA$4:$AB$15))</f>
        <v>3.8230809491828564E-3</v>
      </c>
      <c r="H30" s="260" t="s">
        <v>278</v>
      </c>
      <c r="I30" s="260" t="s">
        <v>278</v>
      </c>
      <c r="J30" s="260" t="s">
        <v>278</v>
      </c>
      <c r="K30" s="261" t="s">
        <v>278</v>
      </c>
      <c r="N30" s="258"/>
      <c r="O30" s="18"/>
      <c r="P30" s="18"/>
      <c r="Q30" s="18"/>
      <c r="R30" s="18"/>
      <c r="S30" s="18"/>
      <c r="T30" s="18"/>
      <c r="U30" s="18"/>
      <c r="V30" s="18"/>
    </row>
    <row r="31" spans="2:22" ht="13.5" x14ac:dyDescent="0.25">
      <c r="B31" s="32">
        <v>2021</v>
      </c>
      <c r="C31" s="494" t="s">
        <v>281</v>
      </c>
      <c r="D31" s="259" cm="1">
        <f t="array" aca="1" ref="D31" ca="1">_xlfn.XLOOKUP(D$13,INDIRECT("'"&amp;$B31&amp;" EI'!$B$6:$B$53"),_xlfn.XLOOKUP($C$10,INDIRECT("'"&amp;$B31&amp;" EI'!$D$4:$Z$4"),INDIRECT("'"&amp;$B31&amp;" EI'!$D$6:$Z$53")))*_xlfn.XLOOKUP($B31&amp;D$15,'Gas Useage'!$A$4:$A$15&amp;'Gas Useage'!$B$4:$B$15,_xlfn.XLOOKUP($C31&amp;D$14,'Gas Useage'!$C$2:$AB$2&amp;'Gas Useage'!$C$3:$AB$3,'Gas Useage'!$C$4:$AB$15))/_xlfn.XLOOKUP($B31&amp;D$15,'Gas Useage'!$A$4:$A$15&amp;'Gas Useage'!$B$4:$B$15,_xlfn.XLOOKUP(D$14,'Gas Useage'!$AA$3:$AB$3,'Gas Useage'!$AA$4:$AB$15))</f>
        <v>2.4877380152966071E-2</v>
      </c>
      <c r="E31" s="259" cm="1">
        <f t="array" aca="1" ref="E31" ca="1">_xlfn.XLOOKUP(E$13,INDIRECT("'"&amp;$B31&amp;" EI'!$B$6:$B$53"),_xlfn.XLOOKUP($C$10,INDIRECT("'"&amp;$B31&amp;" EI'!$D$4:$Z$4"),INDIRECT("'"&amp;$B31&amp;" EI'!$D$6:$Z$53")))*_xlfn.XLOOKUP($B31&amp;E$15,'Gas Useage'!$A$4:$A$15&amp;'Gas Useage'!$B$4:$B$15,_xlfn.XLOOKUP($C31&amp;E$14,'Gas Useage'!$C$2:$AB$2&amp;'Gas Useage'!$C$3:$AB$3,'Gas Useage'!$C$4:$AB$15))/_xlfn.XLOOKUP($B31&amp;E$15,'Gas Useage'!$A$4:$A$15&amp;'Gas Useage'!$B$4:$B$15,_xlfn.XLOOKUP(E$14,'Gas Useage'!$AA$3:$AB$3,'Gas Useage'!$AA$4:$AB$15))</f>
        <v>2.0323354125089963E-3</v>
      </c>
      <c r="F31" s="259" cm="1">
        <f t="array" aca="1" ref="F31" ca="1">_xlfn.XLOOKUP(F$13,INDIRECT("'"&amp;$B31&amp;" EI'!$B$6:$B$53"),_xlfn.XLOOKUP($C$10,INDIRECT("'"&amp;$B31&amp;" EI'!$D$4:$Z$4"),INDIRECT("'"&amp;$B31&amp;" EI'!$D$6:$Z$53")))*_xlfn.XLOOKUP($B31&amp;F$15,'Gas Useage'!$A$4:$A$15&amp;'Gas Useage'!$B$4:$B$15,_xlfn.XLOOKUP($C31&amp;F$14,'Gas Useage'!$C$2:$AB$2&amp;'Gas Useage'!$C$3:$AB$3,'Gas Useage'!$C$4:$AB$15))/_xlfn.XLOOKUP($B31&amp;F$15,'Gas Useage'!$A$4:$A$15&amp;'Gas Useage'!$B$4:$B$15,_xlfn.XLOOKUP(F$14,'Gas Useage'!$AA$3:$AB$3,'Gas Useage'!$AA$4:$AB$15))</f>
        <v>3.6420296783569402E-2</v>
      </c>
      <c r="G31" s="259" cm="1">
        <f t="array" aca="1" ref="G31" ca="1">_xlfn.XLOOKUP(G$13,INDIRECT("'"&amp;$B31&amp;" EI'!$B$6:$B$53"),_xlfn.XLOOKUP($C$10,INDIRECT("'"&amp;$B31&amp;" EI'!$D$4:$Z$4"),INDIRECT("'"&amp;$B31&amp;" EI'!$D$6:$Z$53")))*_xlfn.XLOOKUP($B31&amp;G$15,'Gas Useage'!$A$4:$A$15&amp;'Gas Useage'!$B$4:$B$15,_xlfn.XLOOKUP($C31&amp;G$14,'Gas Useage'!$C$2:$AB$2&amp;'Gas Useage'!$C$3:$AB$3,'Gas Useage'!$C$4:$AB$15))/_xlfn.XLOOKUP($B31&amp;G$15,'Gas Useage'!$A$4:$A$15&amp;'Gas Useage'!$B$4:$B$15,_xlfn.XLOOKUP(G$14,'Gas Useage'!$AA$3:$AB$3,'Gas Useage'!$AA$4:$AB$15))</f>
        <v>2.9753237049967482E-3</v>
      </c>
      <c r="H31" s="260" t="s">
        <v>278</v>
      </c>
      <c r="I31" s="260" t="s">
        <v>278</v>
      </c>
      <c r="J31" s="260" t="s">
        <v>278</v>
      </c>
      <c r="K31" s="261" t="s">
        <v>278</v>
      </c>
      <c r="N31" s="258"/>
      <c r="O31" s="18"/>
      <c r="P31" s="18"/>
      <c r="Q31" s="18"/>
      <c r="R31" s="18"/>
      <c r="S31" s="18"/>
      <c r="T31" s="18"/>
      <c r="U31" s="18"/>
      <c r="V31" s="18"/>
    </row>
    <row r="32" spans="2:22" ht="13.5" x14ac:dyDescent="0.25">
      <c r="B32" s="32">
        <v>2021</v>
      </c>
      <c r="C32" s="494" t="s">
        <v>282</v>
      </c>
      <c r="D32" s="259" cm="1">
        <f t="array" aca="1" ref="D32" ca="1">_xlfn.XLOOKUP(D$13,INDIRECT("'"&amp;$B32&amp;" EI'!$B$6:$B$53"),_xlfn.XLOOKUP($C$10,INDIRECT("'"&amp;$B32&amp;" EI'!$D$4:$Z$4"),INDIRECT("'"&amp;$B32&amp;" EI'!$D$6:$Z$53")))*_xlfn.XLOOKUP($B32&amp;D$15,'Gas Useage'!$A$4:$A$15&amp;'Gas Useage'!$B$4:$B$15,_xlfn.XLOOKUP($C32&amp;D$14,'Gas Useage'!$C$2:$AB$2&amp;'Gas Useage'!$C$3:$AB$3,'Gas Useage'!$C$4:$AB$15))/_xlfn.XLOOKUP($B32&amp;D$15,'Gas Useage'!$A$4:$A$15&amp;'Gas Useage'!$B$4:$B$15,_xlfn.XLOOKUP(D$14,'Gas Useage'!$AA$3:$AB$3,'Gas Useage'!$AA$4:$AB$15))</f>
        <v>1.8167677000593168E-2</v>
      </c>
      <c r="E32" s="259" cm="1">
        <f t="array" aca="1" ref="E32" ca="1">_xlfn.XLOOKUP(E$13,INDIRECT("'"&amp;$B32&amp;" EI'!$B$6:$B$53"),_xlfn.XLOOKUP($C$10,INDIRECT("'"&amp;$B32&amp;" EI'!$D$4:$Z$4"),INDIRECT("'"&amp;$B32&amp;" EI'!$D$6:$Z$53")))*_xlfn.XLOOKUP($B32&amp;E$15,'Gas Useage'!$A$4:$A$15&amp;'Gas Useage'!$B$4:$B$15,_xlfn.XLOOKUP($C32&amp;E$14,'Gas Useage'!$C$2:$AB$2&amp;'Gas Useage'!$C$3:$AB$3,'Gas Useage'!$C$4:$AB$15))/_xlfn.XLOOKUP($B32&amp;E$15,'Gas Useage'!$A$4:$A$15&amp;'Gas Useage'!$B$4:$B$15,_xlfn.XLOOKUP(E$14,'Gas Useage'!$AA$3:$AB$3,'Gas Useage'!$AA$4:$AB$15))</f>
        <v>1.3368376096719319E-3</v>
      </c>
      <c r="F32" s="259" cm="1">
        <f t="array" aca="1" ref="F32" ca="1">_xlfn.XLOOKUP(F$13,INDIRECT("'"&amp;$B32&amp;" EI'!$B$6:$B$53"),_xlfn.XLOOKUP($C$10,INDIRECT("'"&amp;$B32&amp;" EI'!$D$4:$Z$4"),INDIRECT("'"&amp;$B32&amp;" EI'!$D$6:$Z$53")))*_xlfn.XLOOKUP($B32&amp;F$15,'Gas Useage'!$A$4:$A$15&amp;'Gas Useage'!$B$4:$B$15,_xlfn.XLOOKUP($C32&amp;F$14,'Gas Useage'!$C$2:$AB$2&amp;'Gas Useage'!$C$3:$AB$3,'Gas Useage'!$C$4:$AB$15))/_xlfn.XLOOKUP($B32&amp;F$15,'Gas Useage'!$A$4:$A$15&amp;'Gas Useage'!$B$4:$B$15,_xlfn.XLOOKUP(F$14,'Gas Useage'!$AA$3:$AB$3,'Gas Useage'!$AA$4:$AB$15))</f>
        <v>3.5051054853053598E-2</v>
      </c>
      <c r="G32" s="259" cm="1">
        <f t="array" aca="1" ref="G32" ca="1">_xlfn.XLOOKUP(G$13,INDIRECT("'"&amp;$B32&amp;" EI'!$B$6:$B$53"),_xlfn.XLOOKUP($C$10,INDIRECT("'"&amp;$B32&amp;" EI'!$D$4:$Z$4"),INDIRECT("'"&amp;$B32&amp;" EI'!$D$6:$Z$53")))*_xlfn.XLOOKUP($B32&amp;G$15,'Gas Useage'!$A$4:$A$15&amp;'Gas Useage'!$B$4:$B$15,_xlfn.XLOOKUP($C32&amp;G$14,'Gas Useage'!$C$2:$AB$2&amp;'Gas Useage'!$C$3:$AB$3,'Gas Useage'!$C$4:$AB$15))/_xlfn.XLOOKUP($B32&amp;G$15,'Gas Useage'!$A$4:$A$15&amp;'Gas Useage'!$B$4:$B$15,_xlfn.XLOOKUP(G$14,'Gas Useage'!$AA$3:$AB$3,'Gas Useage'!$AA$4:$AB$15))</f>
        <v>2.5791722510646827E-3</v>
      </c>
      <c r="H32" s="260" t="s">
        <v>278</v>
      </c>
      <c r="I32" s="260" t="s">
        <v>278</v>
      </c>
      <c r="J32" s="260" t="s">
        <v>278</v>
      </c>
      <c r="K32" s="261" t="s">
        <v>278</v>
      </c>
      <c r="N32" s="258"/>
      <c r="O32" s="18"/>
      <c r="P32" s="18"/>
      <c r="Q32" s="18"/>
      <c r="R32" s="18"/>
      <c r="S32" s="18"/>
      <c r="T32" s="18"/>
      <c r="U32" s="18"/>
      <c r="V32" s="18"/>
    </row>
    <row r="33" spans="2:22" ht="13.5" x14ac:dyDescent="0.25">
      <c r="B33" s="32">
        <v>2021</v>
      </c>
      <c r="C33" s="494" t="s">
        <v>283</v>
      </c>
      <c r="D33" s="259" cm="1">
        <f t="array" aca="1" ref="D33" ca="1">_xlfn.XLOOKUP(D$13,INDIRECT("'"&amp;$B33&amp;" EI'!$B$6:$B$53"),_xlfn.XLOOKUP($C$10,INDIRECT("'"&amp;$B33&amp;" EI'!$D$4:$Z$4"),INDIRECT("'"&amp;$B33&amp;" EI'!$D$6:$Z$53")))*_xlfn.XLOOKUP($B33&amp;D$15,'Gas Useage'!$A$4:$A$15&amp;'Gas Useage'!$B$4:$B$15,_xlfn.XLOOKUP($C33&amp;D$14,'Gas Useage'!$C$2:$AB$2&amp;'Gas Useage'!$C$3:$AB$3,'Gas Useage'!$C$4:$AB$15))/_xlfn.XLOOKUP($B33&amp;D$15,'Gas Useage'!$A$4:$A$15&amp;'Gas Useage'!$B$4:$B$15,_xlfn.XLOOKUP(D$14,'Gas Useage'!$AA$3:$AB$3,'Gas Useage'!$AA$4:$AB$15))</f>
        <v>8.2463793392316114E-3</v>
      </c>
      <c r="E33" s="259" cm="1">
        <f t="array" aca="1" ref="E33" ca="1">_xlfn.XLOOKUP(E$13,INDIRECT("'"&amp;$B33&amp;" EI'!$B$6:$B$53"),_xlfn.XLOOKUP($C$10,INDIRECT("'"&amp;$B33&amp;" EI'!$D$4:$Z$4"),INDIRECT("'"&amp;$B33&amp;" EI'!$D$6:$Z$53")))*_xlfn.XLOOKUP($B33&amp;E$15,'Gas Useage'!$A$4:$A$15&amp;'Gas Useage'!$B$4:$B$15,_xlfn.XLOOKUP($C33&amp;E$14,'Gas Useage'!$C$2:$AB$2&amp;'Gas Useage'!$C$3:$AB$3,'Gas Useage'!$C$4:$AB$15))/_xlfn.XLOOKUP($B33&amp;E$15,'Gas Useage'!$A$4:$A$15&amp;'Gas Useage'!$B$4:$B$15,_xlfn.XLOOKUP(E$14,'Gas Useage'!$AA$3:$AB$3,'Gas Useage'!$AA$4:$AB$15))</f>
        <v>4.6085308823238917E-4</v>
      </c>
      <c r="F33" s="259" cm="1">
        <f t="array" aca="1" ref="F33" ca="1">_xlfn.XLOOKUP(F$13,INDIRECT("'"&amp;$B33&amp;" EI'!$B$6:$B$53"),_xlfn.XLOOKUP($C$10,INDIRECT("'"&amp;$B33&amp;" EI'!$D$4:$Z$4"),INDIRECT("'"&amp;$B33&amp;" EI'!$D$6:$Z$53")))*_xlfn.XLOOKUP($B33&amp;F$15,'Gas Useage'!$A$4:$A$15&amp;'Gas Useage'!$B$4:$B$15,_xlfn.XLOOKUP($C33&amp;F$14,'Gas Useage'!$C$2:$AB$2&amp;'Gas Useage'!$C$3:$AB$3,'Gas Useage'!$C$4:$AB$15))/_xlfn.XLOOKUP($B33&amp;F$15,'Gas Useage'!$A$4:$A$15&amp;'Gas Useage'!$B$4:$B$15,_xlfn.XLOOKUP(F$14,'Gas Useage'!$AA$3:$AB$3,'Gas Useage'!$AA$4:$AB$15))</f>
        <v>1.6706248572195607E-2</v>
      </c>
      <c r="G33" s="259" cm="1">
        <f t="array" aca="1" ref="G33" ca="1">_xlfn.XLOOKUP(G$13,INDIRECT("'"&amp;$B33&amp;" EI'!$B$6:$B$53"),_xlfn.XLOOKUP($C$10,INDIRECT("'"&amp;$B33&amp;" EI'!$D$4:$Z$4"),INDIRECT("'"&amp;$B33&amp;" EI'!$D$6:$Z$53")))*_xlfn.XLOOKUP($B33&amp;G$15,'Gas Useage'!$A$4:$A$15&amp;'Gas Useage'!$B$4:$B$15,_xlfn.XLOOKUP($C33&amp;G$14,'Gas Useage'!$C$2:$AB$2&amp;'Gas Useage'!$C$3:$AB$3,'Gas Useage'!$C$4:$AB$15))/_xlfn.XLOOKUP($B33&amp;G$15,'Gas Useage'!$A$4:$A$15&amp;'Gas Useage'!$B$4:$B$15,_xlfn.XLOOKUP(G$14,'Gas Useage'!$AA$3:$AB$3,'Gas Useage'!$AA$4:$AB$15))</f>
        <v>9.3363716736218994E-4</v>
      </c>
      <c r="H33" s="260" t="s">
        <v>278</v>
      </c>
      <c r="I33" s="260" t="s">
        <v>278</v>
      </c>
      <c r="J33" s="260" t="s">
        <v>278</v>
      </c>
      <c r="K33" s="261" t="s">
        <v>278</v>
      </c>
      <c r="N33" s="258"/>
      <c r="O33" s="18"/>
      <c r="P33" s="18"/>
      <c r="Q33" s="18"/>
      <c r="R33" s="18"/>
      <c r="S33" s="18"/>
      <c r="T33" s="18"/>
      <c r="U33" s="18"/>
      <c r="V33" s="18"/>
    </row>
    <row r="34" spans="2:22" ht="13.5" x14ac:dyDescent="0.25">
      <c r="B34" s="32">
        <v>2021</v>
      </c>
      <c r="C34" s="494" t="s">
        <v>284</v>
      </c>
      <c r="D34" s="259" cm="1">
        <f t="array" aca="1" ref="D34" ca="1">_xlfn.XLOOKUP(D$13,INDIRECT("'"&amp;$B34&amp;" EI'!$B$6:$B$53"),_xlfn.XLOOKUP($C$10,INDIRECT("'"&amp;$B34&amp;" EI'!$D$4:$Z$4"),INDIRECT("'"&amp;$B34&amp;" EI'!$D$6:$Z$53")))*_xlfn.XLOOKUP($B34&amp;D$15,'Gas Useage'!$A$4:$A$15&amp;'Gas Useage'!$B$4:$B$15,_xlfn.XLOOKUP($C34&amp;D$14,'Gas Useage'!$C$2:$AB$2&amp;'Gas Useage'!$C$3:$AB$3,'Gas Useage'!$C$4:$AB$15))/_xlfn.XLOOKUP($B34&amp;D$15,'Gas Useage'!$A$4:$A$15&amp;'Gas Useage'!$B$4:$B$15,_xlfn.XLOOKUP(D$14,'Gas Useage'!$AA$3:$AB$3,'Gas Useage'!$AA$4:$AB$15))</f>
        <v>1.8438304457893795E-2</v>
      </c>
      <c r="E34" s="259" cm="1">
        <f t="array" aca="1" ref="E34" ca="1">_xlfn.XLOOKUP(E$13,INDIRECT("'"&amp;$B34&amp;" EI'!$B$6:$B$53"),_xlfn.XLOOKUP($C$10,INDIRECT("'"&amp;$B34&amp;" EI'!$D$4:$Z$4"),INDIRECT("'"&amp;$B34&amp;" EI'!$D$6:$Z$53")))*_xlfn.XLOOKUP($B34&amp;E$15,'Gas Useage'!$A$4:$A$15&amp;'Gas Useage'!$B$4:$B$15,_xlfn.XLOOKUP($C34&amp;E$14,'Gas Useage'!$C$2:$AB$2&amp;'Gas Useage'!$C$3:$AB$3,'Gas Useage'!$C$4:$AB$15))/_xlfn.XLOOKUP($B34&amp;E$15,'Gas Useage'!$A$4:$A$15&amp;'Gas Useage'!$B$4:$B$15,_xlfn.XLOOKUP(E$14,'Gas Useage'!$AA$3:$AB$3,'Gas Useage'!$AA$4:$AB$15))</f>
        <v>7.7510017990716526E-4</v>
      </c>
      <c r="F34" s="259" cm="1">
        <f t="array" aca="1" ref="F34" ca="1">_xlfn.XLOOKUP(F$13,INDIRECT("'"&amp;$B34&amp;" EI'!$B$6:$B$53"),_xlfn.XLOOKUP($C$10,INDIRECT("'"&amp;$B34&amp;" EI'!$D$4:$Z$4"),INDIRECT("'"&amp;$B34&amp;" EI'!$D$6:$Z$53")))*_xlfn.XLOOKUP($B34&amp;F$15,'Gas Useage'!$A$4:$A$15&amp;'Gas Useage'!$B$4:$B$15,_xlfn.XLOOKUP($C34&amp;F$14,'Gas Useage'!$C$2:$AB$2&amp;'Gas Useage'!$C$3:$AB$3,'Gas Useage'!$C$4:$AB$15))/_xlfn.XLOOKUP($B34&amp;F$15,'Gas Useage'!$A$4:$A$15&amp;'Gas Useage'!$B$4:$B$15,_xlfn.XLOOKUP(F$14,'Gas Useage'!$AA$3:$AB$3,'Gas Useage'!$AA$4:$AB$15))</f>
        <v>2.0599299061103794E-2</v>
      </c>
      <c r="G34" s="259" cm="1">
        <f t="array" aca="1" ref="G34" ca="1">_xlfn.XLOOKUP(G$13,INDIRECT("'"&amp;$B34&amp;" EI'!$B$6:$B$53"),_xlfn.XLOOKUP($C$10,INDIRECT("'"&amp;$B34&amp;" EI'!$D$4:$Z$4"),INDIRECT("'"&amp;$B34&amp;" EI'!$D$6:$Z$53")))*_xlfn.XLOOKUP($B34&amp;G$15,'Gas Useage'!$A$4:$A$15&amp;'Gas Useage'!$B$4:$B$15,_xlfn.XLOOKUP($C34&amp;G$14,'Gas Useage'!$C$2:$AB$2&amp;'Gas Useage'!$C$3:$AB$3,'Gas Useage'!$C$4:$AB$15))/_xlfn.XLOOKUP($B34&amp;G$15,'Gas Useage'!$A$4:$A$15&amp;'Gas Useage'!$B$4:$B$15,_xlfn.XLOOKUP(G$14,'Gas Useage'!$AA$3:$AB$3,'Gas Useage'!$AA$4:$AB$15))</f>
        <v>8.659429854130364E-4</v>
      </c>
      <c r="H34" s="260" t="s">
        <v>278</v>
      </c>
      <c r="I34" s="260" t="s">
        <v>278</v>
      </c>
      <c r="J34" s="260" t="s">
        <v>278</v>
      </c>
      <c r="K34" s="261" t="s">
        <v>278</v>
      </c>
      <c r="N34" s="258"/>
      <c r="O34" s="18"/>
      <c r="P34" s="18"/>
      <c r="Q34" s="18"/>
      <c r="R34" s="18"/>
      <c r="S34" s="18"/>
      <c r="T34" s="18"/>
      <c r="U34" s="18"/>
      <c r="V34" s="18"/>
    </row>
    <row r="35" spans="2:22" ht="13.5" x14ac:dyDescent="0.25">
      <c r="B35" s="32">
        <v>2021</v>
      </c>
      <c r="C35" s="494" t="s">
        <v>285</v>
      </c>
      <c r="D35" s="259" cm="1">
        <f t="array" aca="1" ref="D35" ca="1">_xlfn.XLOOKUP(D$13,INDIRECT("'"&amp;$B35&amp;" EI'!$B$6:$B$53"),_xlfn.XLOOKUP($C$10,INDIRECT("'"&amp;$B35&amp;" EI'!$D$4:$Z$4"),INDIRECT("'"&amp;$B35&amp;" EI'!$D$6:$Z$53")))*_xlfn.XLOOKUP($B35&amp;D$15,'Gas Useage'!$A$4:$A$15&amp;'Gas Useage'!$B$4:$B$15,_xlfn.XLOOKUP($C35&amp;D$14,'Gas Useage'!$C$2:$AB$2&amp;'Gas Useage'!$C$3:$AB$3,'Gas Useage'!$C$4:$AB$15))/_xlfn.XLOOKUP($B35&amp;D$15,'Gas Useage'!$A$4:$A$15&amp;'Gas Useage'!$B$4:$B$15,_xlfn.XLOOKUP(D$14,'Gas Useage'!$AA$3:$AB$3,'Gas Useage'!$AA$4:$AB$15))</f>
        <v>2.2229338493250584E-2</v>
      </c>
      <c r="E35" s="259" cm="1">
        <f t="array" aca="1" ref="E35" ca="1">_xlfn.XLOOKUP(E$13,INDIRECT("'"&amp;$B35&amp;" EI'!$B$6:$B$53"),_xlfn.XLOOKUP($C$10,INDIRECT("'"&amp;$B35&amp;" EI'!$D$4:$Z$4"),INDIRECT("'"&amp;$B35&amp;" EI'!$D$6:$Z$53")))*_xlfn.XLOOKUP($B35&amp;E$15,'Gas Useage'!$A$4:$A$15&amp;'Gas Useage'!$B$4:$B$15,_xlfn.XLOOKUP($C35&amp;E$14,'Gas Useage'!$C$2:$AB$2&amp;'Gas Useage'!$C$3:$AB$3,'Gas Useage'!$C$4:$AB$15))/_xlfn.XLOOKUP($B35&amp;E$15,'Gas Useage'!$A$4:$A$15&amp;'Gas Useage'!$B$4:$B$15,_xlfn.XLOOKUP(E$14,'Gas Useage'!$AA$3:$AB$3,'Gas Useage'!$AA$4:$AB$15))</f>
        <v>2.5911530199127569E-3</v>
      </c>
      <c r="F35" s="259" cm="1">
        <f t="array" aca="1" ref="F35" ca="1">_xlfn.XLOOKUP(F$13,INDIRECT("'"&amp;$B35&amp;" EI'!$B$6:$B$53"),_xlfn.XLOOKUP($C$10,INDIRECT("'"&amp;$B35&amp;" EI'!$D$4:$Z$4"),INDIRECT("'"&amp;$B35&amp;" EI'!$D$6:$Z$53")))*_xlfn.XLOOKUP($B35&amp;F$15,'Gas Useage'!$A$4:$A$15&amp;'Gas Useage'!$B$4:$B$15,_xlfn.XLOOKUP($C35&amp;F$14,'Gas Useage'!$C$2:$AB$2&amp;'Gas Useage'!$C$3:$AB$3,'Gas Useage'!$C$4:$AB$15))/_xlfn.XLOOKUP($B35&amp;F$15,'Gas Useage'!$A$4:$A$15&amp;'Gas Useage'!$B$4:$B$15,_xlfn.XLOOKUP(F$14,'Gas Useage'!$AA$3:$AB$3,'Gas Useage'!$AA$4:$AB$15))</f>
        <v>1.8958660000680021E-2</v>
      </c>
      <c r="G35" s="259" cm="1">
        <f t="array" aca="1" ref="G35" ca="1">_xlfn.XLOOKUP(G$13,INDIRECT("'"&amp;$B35&amp;" EI'!$B$6:$B$53"),_xlfn.XLOOKUP($C$10,INDIRECT("'"&amp;$B35&amp;" EI'!$D$4:$Z$4"),INDIRECT("'"&amp;$B35&amp;" EI'!$D$6:$Z$53")))*_xlfn.XLOOKUP($B35&amp;G$15,'Gas Useage'!$A$4:$A$15&amp;'Gas Useage'!$B$4:$B$15,_xlfn.XLOOKUP($C35&amp;G$14,'Gas Useage'!$C$2:$AB$2&amp;'Gas Useage'!$C$3:$AB$3,'Gas Useage'!$C$4:$AB$15))/_xlfn.XLOOKUP($B35&amp;G$15,'Gas Useage'!$A$4:$A$15&amp;'Gas Useage'!$B$4:$B$15,_xlfn.XLOOKUP(G$14,'Gas Useage'!$AA$3:$AB$3,'Gas Useage'!$AA$4:$AB$15))</f>
        <v>2.209907826504905E-3</v>
      </c>
      <c r="H35" s="260" t="s">
        <v>278</v>
      </c>
      <c r="I35" s="260" t="s">
        <v>278</v>
      </c>
      <c r="J35" s="260" t="s">
        <v>278</v>
      </c>
      <c r="K35" s="261" t="s">
        <v>278</v>
      </c>
      <c r="N35" s="258"/>
      <c r="O35" s="18"/>
      <c r="P35" s="18"/>
      <c r="Q35" s="18"/>
      <c r="R35" s="18"/>
      <c r="S35" s="18"/>
      <c r="T35" s="18"/>
      <c r="U35" s="18"/>
      <c r="V35" s="18"/>
    </row>
    <row r="36" spans="2:22" ht="13.5" x14ac:dyDescent="0.25">
      <c r="B36" s="32">
        <v>2021</v>
      </c>
      <c r="C36" s="494" t="s">
        <v>286</v>
      </c>
      <c r="D36" s="259" cm="1">
        <f t="array" aca="1" ref="D36" ca="1">_xlfn.XLOOKUP(D$13,INDIRECT("'"&amp;$B36&amp;" EI'!$B$6:$B$53"),_xlfn.XLOOKUP($C$10,INDIRECT("'"&amp;$B36&amp;" EI'!$D$4:$Z$4"),INDIRECT("'"&amp;$B36&amp;" EI'!$D$6:$Z$53")))*_xlfn.XLOOKUP($B36&amp;D$15,'Gas Useage'!$A$4:$A$15&amp;'Gas Useage'!$B$4:$B$15,_xlfn.XLOOKUP($C36&amp;D$14,'Gas Useage'!$C$2:$AB$2&amp;'Gas Useage'!$C$3:$AB$3,'Gas Useage'!$C$4:$AB$15))/_xlfn.XLOOKUP($B36&amp;D$15,'Gas Useage'!$A$4:$A$15&amp;'Gas Useage'!$B$4:$B$15,_xlfn.XLOOKUP(D$14,'Gas Useage'!$AA$3:$AB$3,'Gas Useage'!$AA$4:$AB$15))</f>
        <v>1.3300548645636776E-2</v>
      </c>
      <c r="E36" s="259" cm="1">
        <f t="array" aca="1" ref="E36" ca="1">_xlfn.XLOOKUP(E$13,INDIRECT("'"&amp;$B36&amp;" EI'!$B$6:$B$53"),_xlfn.XLOOKUP($C$10,INDIRECT("'"&amp;$B36&amp;" EI'!$D$4:$Z$4"),INDIRECT("'"&amp;$B36&amp;" EI'!$D$6:$Z$53")))*_xlfn.XLOOKUP($B36&amp;E$15,'Gas Useage'!$A$4:$A$15&amp;'Gas Useage'!$B$4:$B$15,_xlfn.XLOOKUP($C36&amp;E$14,'Gas Useage'!$C$2:$AB$2&amp;'Gas Useage'!$C$3:$AB$3,'Gas Useage'!$C$4:$AB$15))/_xlfn.XLOOKUP($B36&amp;E$15,'Gas Useage'!$A$4:$A$15&amp;'Gas Useage'!$B$4:$B$15,_xlfn.XLOOKUP(E$14,'Gas Useage'!$AA$3:$AB$3,'Gas Useage'!$AA$4:$AB$15))</f>
        <v>1.3883218694529704E-3</v>
      </c>
      <c r="F36" s="259" cm="1">
        <f t="array" aca="1" ref="F36" ca="1">_xlfn.XLOOKUP(F$13,INDIRECT("'"&amp;$B36&amp;" EI'!$B$6:$B$53"),_xlfn.XLOOKUP($C$10,INDIRECT("'"&amp;$B36&amp;" EI'!$D$4:$Z$4"),INDIRECT("'"&amp;$B36&amp;" EI'!$D$6:$Z$53")))*_xlfn.XLOOKUP($B36&amp;F$15,'Gas Useage'!$A$4:$A$15&amp;'Gas Useage'!$B$4:$B$15,_xlfn.XLOOKUP($C36&amp;F$14,'Gas Useage'!$C$2:$AB$2&amp;'Gas Useage'!$C$3:$AB$3,'Gas Useage'!$C$4:$AB$15))/_xlfn.XLOOKUP($B36&amp;F$15,'Gas Useage'!$A$4:$A$15&amp;'Gas Useage'!$B$4:$B$15,_xlfn.XLOOKUP(F$14,'Gas Useage'!$AA$3:$AB$3,'Gas Useage'!$AA$4:$AB$15))</f>
        <v>1.05934196187994E-2</v>
      </c>
      <c r="G36" s="259" cm="1">
        <f t="array" aca="1" ref="G36" ca="1">_xlfn.XLOOKUP(G$13,INDIRECT("'"&amp;$B36&amp;" EI'!$B$6:$B$53"),_xlfn.XLOOKUP($C$10,INDIRECT("'"&amp;$B36&amp;" EI'!$D$4:$Z$4"),INDIRECT("'"&amp;$B36&amp;" EI'!$D$6:$Z$53")))*_xlfn.XLOOKUP($B36&amp;G$15,'Gas Useage'!$A$4:$A$15&amp;'Gas Useage'!$B$4:$B$15,_xlfn.XLOOKUP($C36&amp;G$14,'Gas Useage'!$C$2:$AB$2&amp;'Gas Useage'!$C$3:$AB$3,'Gas Useage'!$C$4:$AB$15))/_xlfn.XLOOKUP($B36&amp;G$15,'Gas Useage'!$A$4:$A$15&amp;'Gas Useage'!$B$4:$B$15,_xlfn.XLOOKUP(G$14,'Gas Useage'!$AA$3:$AB$3,'Gas Useage'!$AA$4:$AB$15))</f>
        <v>1.1057495837884848E-3</v>
      </c>
      <c r="H36" s="260" t="s">
        <v>278</v>
      </c>
      <c r="I36" s="260" t="s">
        <v>278</v>
      </c>
      <c r="J36" s="260" t="s">
        <v>278</v>
      </c>
      <c r="K36" s="261" t="s">
        <v>278</v>
      </c>
      <c r="N36" s="258"/>
      <c r="O36" s="18"/>
      <c r="P36" s="18"/>
      <c r="Q36" s="18"/>
      <c r="R36" s="18"/>
      <c r="S36" s="18"/>
      <c r="T36" s="18"/>
      <c r="U36" s="18"/>
      <c r="V36" s="18"/>
    </row>
    <row r="37" spans="2:22" ht="13.5" x14ac:dyDescent="0.25">
      <c r="B37" s="32">
        <v>2021</v>
      </c>
      <c r="C37" s="494" t="s">
        <v>287</v>
      </c>
      <c r="D37" s="259" cm="1">
        <f t="array" aca="1" ref="D37" ca="1">_xlfn.XLOOKUP(D$13,INDIRECT("'"&amp;$B37&amp;" EI'!$B$6:$B$53"),_xlfn.XLOOKUP($C$10,INDIRECT("'"&amp;$B37&amp;" EI'!$D$4:$Z$4"),INDIRECT("'"&amp;$B37&amp;" EI'!$D$6:$Z$53")))*_xlfn.XLOOKUP($B37&amp;D$15,'Gas Useage'!$A$4:$A$15&amp;'Gas Useage'!$B$4:$B$15,_xlfn.XLOOKUP($C37&amp;D$14,'Gas Useage'!$C$2:$AB$2&amp;'Gas Useage'!$C$3:$AB$3,'Gas Useage'!$C$4:$AB$15))/_xlfn.XLOOKUP($B37&amp;D$15,'Gas Useage'!$A$4:$A$15&amp;'Gas Useage'!$B$4:$B$15,_xlfn.XLOOKUP(D$14,'Gas Useage'!$AA$3:$AB$3,'Gas Useage'!$AA$4:$AB$15))</f>
        <v>1.4211793155928817E-2</v>
      </c>
      <c r="E37" s="259" cm="1">
        <f t="array" aca="1" ref="E37" ca="1">_xlfn.XLOOKUP(E$13,INDIRECT("'"&amp;$B37&amp;" EI'!$B$6:$B$53"),_xlfn.XLOOKUP($C$10,INDIRECT("'"&amp;$B37&amp;" EI'!$D$4:$Z$4"),INDIRECT("'"&amp;$B37&amp;" EI'!$D$6:$Z$53")))*_xlfn.XLOOKUP($B37&amp;E$15,'Gas Useage'!$A$4:$A$15&amp;'Gas Useage'!$B$4:$B$15,_xlfn.XLOOKUP($C37&amp;E$14,'Gas Useage'!$C$2:$AB$2&amp;'Gas Useage'!$C$3:$AB$3,'Gas Useage'!$C$4:$AB$15))/_xlfn.XLOOKUP($B37&amp;E$15,'Gas Useage'!$A$4:$A$15&amp;'Gas Useage'!$B$4:$B$15,_xlfn.XLOOKUP(E$14,'Gas Useage'!$AA$3:$AB$3,'Gas Useage'!$AA$4:$AB$15))</f>
        <v>1.3236257532882893E-3</v>
      </c>
      <c r="F37" s="259" cm="1">
        <f t="array" aca="1" ref="F37" ca="1">_xlfn.XLOOKUP(F$13,INDIRECT("'"&amp;$B37&amp;" EI'!$B$6:$B$53"),_xlfn.XLOOKUP($C$10,INDIRECT("'"&amp;$B37&amp;" EI'!$D$4:$Z$4"),INDIRECT("'"&amp;$B37&amp;" EI'!$D$6:$Z$53")))*_xlfn.XLOOKUP($B37&amp;F$15,'Gas Useage'!$A$4:$A$15&amp;'Gas Useage'!$B$4:$B$15,_xlfn.XLOOKUP($C37&amp;F$14,'Gas Useage'!$C$2:$AB$2&amp;'Gas Useage'!$C$3:$AB$3,'Gas Useage'!$C$4:$AB$15))/_xlfn.XLOOKUP($B37&amp;F$15,'Gas Useage'!$A$4:$A$15&amp;'Gas Useage'!$B$4:$B$15,_xlfn.XLOOKUP(F$14,'Gas Useage'!$AA$3:$AB$3,'Gas Useage'!$AA$4:$AB$15))</f>
        <v>1.1573581829745345E-2</v>
      </c>
      <c r="G37" s="259" cm="1">
        <f t="array" aca="1" ref="G37" ca="1">_xlfn.XLOOKUP(G$13,INDIRECT("'"&amp;$B37&amp;" EI'!$B$6:$B$53"),_xlfn.XLOOKUP($C$10,INDIRECT("'"&amp;$B37&amp;" EI'!$D$4:$Z$4"),INDIRECT("'"&amp;$B37&amp;" EI'!$D$6:$Z$53")))*_xlfn.XLOOKUP($B37&amp;G$15,'Gas Useage'!$A$4:$A$15&amp;'Gas Useage'!$B$4:$B$15,_xlfn.XLOOKUP($C37&amp;G$14,'Gas Useage'!$C$2:$AB$2&amp;'Gas Useage'!$C$3:$AB$3,'Gas Useage'!$C$4:$AB$15))/_xlfn.XLOOKUP($B37&amp;G$15,'Gas Useage'!$A$4:$A$15&amp;'Gas Useage'!$B$4:$B$15,_xlfn.XLOOKUP(G$14,'Gas Useage'!$AA$3:$AB$3,'Gas Useage'!$AA$4:$AB$15))</f>
        <v>1.0779140112414025E-3</v>
      </c>
      <c r="H37" s="260" t="s">
        <v>278</v>
      </c>
      <c r="I37" s="260" t="s">
        <v>278</v>
      </c>
      <c r="J37" s="260" t="s">
        <v>278</v>
      </c>
      <c r="K37" s="261" t="s">
        <v>278</v>
      </c>
      <c r="N37" s="258"/>
      <c r="O37" s="18"/>
      <c r="P37" s="18"/>
      <c r="Q37" s="18"/>
      <c r="R37" s="18"/>
      <c r="S37" s="18"/>
      <c r="T37" s="18"/>
      <c r="U37" s="18"/>
      <c r="V37" s="18"/>
    </row>
    <row r="38" spans="2:22" ht="13.5" x14ac:dyDescent="0.25">
      <c r="B38" s="32">
        <v>2021</v>
      </c>
      <c r="C38" s="494" t="s">
        <v>288</v>
      </c>
      <c r="D38" s="259" cm="1">
        <f t="array" aca="1" ref="D38" ca="1">_xlfn.XLOOKUP(D$13,INDIRECT("'"&amp;$B38&amp;" EI'!$B$6:$B$53"),_xlfn.XLOOKUP($C$10,INDIRECT("'"&amp;$B38&amp;" EI'!$D$4:$Z$4"),INDIRECT("'"&amp;$B38&amp;" EI'!$D$6:$Z$53")))*_xlfn.XLOOKUP($B38&amp;D$15,'Gas Useage'!$A$4:$A$15&amp;'Gas Useage'!$B$4:$B$15,_xlfn.XLOOKUP($C38&amp;D$14,'Gas Useage'!$C$2:$AB$2&amp;'Gas Useage'!$C$3:$AB$3,'Gas Useage'!$C$4:$AB$15))/_xlfn.XLOOKUP($B38&amp;D$15,'Gas Useage'!$A$4:$A$15&amp;'Gas Useage'!$B$4:$B$15,_xlfn.XLOOKUP(D$14,'Gas Useage'!$AA$3:$AB$3,'Gas Useage'!$AA$4:$AB$15))</f>
        <v>4.4779801052280258E-2</v>
      </c>
      <c r="E38" s="259" cm="1">
        <f t="array" aca="1" ref="E38" ca="1">_xlfn.XLOOKUP(E$13,INDIRECT("'"&amp;$B38&amp;" EI'!$B$6:$B$53"),_xlfn.XLOOKUP($C$10,INDIRECT("'"&amp;$B38&amp;" EI'!$D$4:$Z$4"),INDIRECT("'"&amp;$B38&amp;" EI'!$D$6:$Z$53")))*_xlfn.XLOOKUP($B38&amp;E$15,'Gas Useage'!$A$4:$A$15&amp;'Gas Useage'!$B$4:$B$15,_xlfn.XLOOKUP($C38&amp;E$14,'Gas Useage'!$C$2:$AB$2&amp;'Gas Useage'!$C$3:$AB$3,'Gas Useage'!$C$4:$AB$15))/_xlfn.XLOOKUP($B38&amp;E$15,'Gas Useage'!$A$4:$A$15&amp;'Gas Useage'!$B$4:$B$15,_xlfn.XLOOKUP(E$14,'Gas Useage'!$AA$3:$AB$3,'Gas Useage'!$AA$4:$AB$15))</f>
        <v>6.2671023953171168E-3</v>
      </c>
      <c r="F38" s="259" cm="1">
        <f t="array" aca="1" ref="F38" ca="1">_xlfn.XLOOKUP(F$13,INDIRECT("'"&amp;$B38&amp;" EI'!$B$6:$B$53"),_xlfn.XLOOKUP($C$10,INDIRECT("'"&amp;$B38&amp;" EI'!$D$4:$Z$4"),INDIRECT("'"&amp;$B38&amp;" EI'!$D$6:$Z$53")))*_xlfn.XLOOKUP($B38&amp;F$15,'Gas Useage'!$A$4:$A$15&amp;'Gas Useage'!$B$4:$B$15,_xlfn.XLOOKUP($C38&amp;F$14,'Gas Useage'!$C$2:$AB$2&amp;'Gas Useage'!$C$3:$AB$3,'Gas Useage'!$C$4:$AB$15))/_xlfn.XLOOKUP($B38&amp;F$15,'Gas Useage'!$A$4:$A$15&amp;'Gas Useage'!$B$4:$B$15,_xlfn.XLOOKUP(F$14,'Gas Useage'!$AA$3:$AB$3,'Gas Useage'!$AA$4:$AB$15))</f>
        <v>4.0805825000747288E-2</v>
      </c>
      <c r="G38" s="259" cm="1">
        <f t="array" aca="1" ref="G38" ca="1">_xlfn.XLOOKUP(G$13,INDIRECT("'"&amp;$B38&amp;" EI'!$B$6:$B$53"),_xlfn.XLOOKUP($C$10,INDIRECT("'"&amp;$B38&amp;" EI'!$D$4:$Z$4"),INDIRECT("'"&amp;$B38&amp;" EI'!$D$6:$Z$53")))*_xlfn.XLOOKUP($B38&amp;G$15,'Gas Useage'!$A$4:$A$15&amp;'Gas Useage'!$B$4:$B$15,_xlfn.XLOOKUP($C38&amp;G$14,'Gas Useage'!$C$2:$AB$2&amp;'Gas Useage'!$C$3:$AB$3,'Gas Useage'!$C$4:$AB$15))/_xlfn.XLOOKUP($B38&amp;G$15,'Gas Useage'!$A$4:$A$15&amp;'Gas Useage'!$B$4:$B$15,_xlfn.XLOOKUP(G$14,'Gas Useage'!$AA$3:$AB$3,'Gas Useage'!$AA$4:$AB$15))</f>
        <v>5.7109294279022275E-3</v>
      </c>
      <c r="H38" s="260" t="s">
        <v>278</v>
      </c>
      <c r="I38" s="260" t="s">
        <v>278</v>
      </c>
      <c r="J38" s="260" t="s">
        <v>278</v>
      </c>
      <c r="K38" s="261" t="s">
        <v>278</v>
      </c>
      <c r="N38" s="258"/>
      <c r="O38" s="18"/>
      <c r="P38" s="18"/>
      <c r="Q38" s="18"/>
      <c r="R38" s="18"/>
      <c r="S38" s="18"/>
      <c r="T38" s="18"/>
      <c r="U38" s="18"/>
      <c r="V38" s="18"/>
    </row>
    <row r="39" spans="2:22" ht="13.5" x14ac:dyDescent="0.25">
      <c r="B39" s="32">
        <v>2021</v>
      </c>
      <c r="C39" s="494" t="s">
        <v>289</v>
      </c>
      <c r="D39" s="259" cm="1">
        <f t="array" aca="1" ref="D39" ca="1">_xlfn.XLOOKUP(D$13,INDIRECT("'"&amp;$B39&amp;" EI'!$B$6:$B$53"),_xlfn.XLOOKUP($C$10,INDIRECT("'"&amp;$B39&amp;" EI'!$D$4:$Z$4"),INDIRECT("'"&amp;$B39&amp;" EI'!$D$6:$Z$53")))*_xlfn.XLOOKUP($B39&amp;D$15,'Gas Useage'!$A$4:$A$15&amp;'Gas Useage'!$B$4:$B$15,_xlfn.XLOOKUP($C39&amp;D$14,'Gas Useage'!$C$2:$AB$2&amp;'Gas Useage'!$C$3:$AB$3,'Gas Useage'!$C$4:$AB$15))/_xlfn.XLOOKUP($B39&amp;D$15,'Gas Useage'!$A$4:$A$15&amp;'Gas Useage'!$B$4:$B$15,_xlfn.XLOOKUP(D$14,'Gas Useage'!$AA$3:$AB$3,'Gas Useage'!$AA$4:$AB$15))</f>
        <v>2.6862465109367437E-2</v>
      </c>
      <c r="E39" s="259" cm="1">
        <f t="array" aca="1" ref="E39" ca="1">_xlfn.XLOOKUP(E$13,INDIRECT("'"&amp;$B39&amp;" EI'!$B$6:$B$53"),_xlfn.XLOOKUP($C$10,INDIRECT("'"&amp;$B39&amp;" EI'!$D$4:$Z$4"),INDIRECT("'"&amp;$B39&amp;" EI'!$D$6:$Z$53")))*_xlfn.XLOOKUP($B39&amp;E$15,'Gas Useage'!$A$4:$A$15&amp;'Gas Useage'!$B$4:$B$15,_xlfn.XLOOKUP($C39&amp;E$14,'Gas Useage'!$C$2:$AB$2&amp;'Gas Useage'!$C$3:$AB$3,'Gas Useage'!$C$4:$AB$15))/_xlfn.XLOOKUP($B39&amp;E$15,'Gas Useage'!$A$4:$A$15&amp;'Gas Useage'!$B$4:$B$15,_xlfn.XLOOKUP(E$14,'Gas Useage'!$AA$3:$AB$3,'Gas Useage'!$AA$4:$AB$15))</f>
        <v>3.5967938522079193E-3</v>
      </c>
      <c r="F39" s="259" cm="1">
        <f t="array" aca="1" ref="F39" ca="1">_xlfn.XLOOKUP(F$13,INDIRECT("'"&amp;$B39&amp;" EI'!$B$6:$B$53"),_xlfn.XLOOKUP($C$10,INDIRECT("'"&amp;$B39&amp;" EI'!$D$4:$Z$4"),INDIRECT("'"&amp;$B39&amp;" EI'!$D$6:$Z$53")))*_xlfn.XLOOKUP($B39&amp;F$15,'Gas Useage'!$A$4:$A$15&amp;'Gas Useage'!$B$4:$B$15,_xlfn.XLOOKUP($C39&amp;F$14,'Gas Useage'!$C$2:$AB$2&amp;'Gas Useage'!$C$3:$AB$3,'Gas Useage'!$C$4:$AB$15))/_xlfn.XLOOKUP($B39&amp;F$15,'Gas Useage'!$A$4:$A$15&amp;'Gas Useage'!$B$4:$B$15,_xlfn.XLOOKUP(F$14,'Gas Useage'!$AA$3:$AB$3,'Gas Useage'!$AA$4:$AB$15))</f>
        <v>2.6091662667204817E-2</v>
      </c>
      <c r="G39" s="259" cm="1">
        <f t="array" aca="1" ref="G39" ca="1">_xlfn.XLOOKUP(G$13,INDIRECT("'"&amp;$B39&amp;" EI'!$B$6:$B$53"),_xlfn.XLOOKUP($C$10,INDIRECT("'"&amp;$B39&amp;" EI'!$D$4:$Z$4"),INDIRECT("'"&amp;$B39&amp;" EI'!$D$6:$Z$53")))*_xlfn.XLOOKUP($B39&amp;G$15,'Gas Useage'!$A$4:$A$15&amp;'Gas Useage'!$B$4:$B$15,_xlfn.XLOOKUP($C39&amp;G$14,'Gas Useage'!$C$2:$AB$2&amp;'Gas Useage'!$C$3:$AB$3,'Gas Useage'!$C$4:$AB$15))/_xlfn.XLOOKUP($B39&amp;G$15,'Gas Useage'!$A$4:$A$15&amp;'Gas Useage'!$B$4:$B$15,_xlfn.XLOOKUP(G$14,'Gas Useage'!$AA$3:$AB$3,'Gas Useage'!$AA$4:$AB$15))</f>
        <v>3.4935859941818666E-3</v>
      </c>
      <c r="H39" s="260" t="s">
        <v>278</v>
      </c>
      <c r="I39" s="260" t="s">
        <v>278</v>
      </c>
      <c r="J39" s="260" t="s">
        <v>278</v>
      </c>
      <c r="K39" s="261" t="s">
        <v>278</v>
      </c>
      <c r="N39" s="258"/>
      <c r="O39" s="18"/>
      <c r="P39" s="18"/>
      <c r="Q39" s="18"/>
      <c r="R39" s="18"/>
      <c r="S39" s="18"/>
      <c r="T39" s="18"/>
      <c r="U39" s="18"/>
      <c r="V39" s="18"/>
    </row>
    <row r="40" spans="2:22" ht="13.5" x14ac:dyDescent="0.25">
      <c r="B40" s="32">
        <v>2022</v>
      </c>
      <c r="C40" s="494" t="s">
        <v>277</v>
      </c>
      <c r="D40" s="259" cm="1">
        <f t="array" aca="1" ref="D40" ca="1">_xlfn.XLOOKUP(D$13,INDIRECT("'"&amp;$B40&amp;" EI'!$B$6:$B$53"),_xlfn.XLOOKUP($C$10,INDIRECT("'"&amp;$B40&amp;" EI'!$D$4:$Z$4"),INDIRECT("'"&amp;$B40&amp;" EI'!$D$6:$Z$53")))*_xlfn.XLOOKUP($B40&amp;D$15,'Gas Useage'!$A$4:$A$15&amp;'Gas Useage'!$B$4:$B$15,_xlfn.XLOOKUP($C40&amp;D$14,'Gas Useage'!$C$2:$AB$2&amp;'Gas Useage'!$C$3:$AB$3,'Gas Useage'!$C$4:$AB$15))/_xlfn.XLOOKUP($B40&amp;D$15,'Gas Useage'!$A$4:$A$15&amp;'Gas Useage'!$B$4:$B$15,_xlfn.XLOOKUP(D$14,'Gas Useage'!$AA$3:$AB$3,'Gas Useage'!$AA$4:$AB$15))</f>
        <v>2.8669063977860749E-2</v>
      </c>
      <c r="E40" s="259" cm="1">
        <f t="array" aca="1" ref="E40" ca="1">_xlfn.XLOOKUP(E$13,INDIRECT("'"&amp;$B40&amp;" EI'!$B$6:$B$53"),_xlfn.XLOOKUP($C$10,INDIRECT("'"&amp;$B40&amp;" EI'!$D$4:$Z$4"),INDIRECT("'"&amp;$B40&amp;" EI'!$D$6:$Z$53")))*_xlfn.XLOOKUP($B40&amp;E$15,'Gas Useage'!$A$4:$A$15&amp;'Gas Useage'!$B$4:$B$15,_xlfn.XLOOKUP($C40&amp;E$14,'Gas Useage'!$C$2:$AB$2&amp;'Gas Useage'!$C$3:$AB$3,'Gas Useage'!$C$4:$AB$15))/_xlfn.XLOOKUP($B40&amp;E$15,'Gas Useage'!$A$4:$A$15&amp;'Gas Useage'!$B$4:$B$15,_xlfn.XLOOKUP(E$14,'Gas Useage'!$AA$3:$AB$3,'Gas Useage'!$AA$4:$AB$15))</f>
        <v>5.0948486652257624E-3</v>
      </c>
      <c r="F40" s="259" cm="1">
        <f t="array" aca="1" ref="F40" ca="1">_xlfn.XLOOKUP(F$13,INDIRECT("'"&amp;$B40&amp;" EI'!$B$6:$B$53"),_xlfn.XLOOKUP($C$10,INDIRECT("'"&amp;$B40&amp;" EI'!$D$4:$Z$4"),INDIRECT("'"&amp;$B40&amp;" EI'!$D$6:$Z$53")))*_xlfn.XLOOKUP($B40&amp;F$15,'Gas Useage'!$A$4:$A$15&amp;'Gas Useage'!$B$4:$B$15,_xlfn.XLOOKUP($C40&amp;F$14,'Gas Useage'!$C$2:$AB$2&amp;'Gas Useage'!$C$3:$AB$3,'Gas Useage'!$C$4:$AB$15))/_xlfn.XLOOKUP($B40&amp;F$15,'Gas Useage'!$A$4:$A$15&amp;'Gas Useage'!$B$4:$B$15,_xlfn.XLOOKUP(F$14,'Gas Useage'!$AA$3:$AB$3,'Gas Useage'!$AA$4:$AB$15))</f>
        <v>2.5491833702623593E-2</v>
      </c>
      <c r="G40" s="259" cm="1">
        <f t="array" aca="1" ref="G40" ca="1">_xlfn.XLOOKUP(G$13,INDIRECT("'"&amp;$B40&amp;" EI'!$B$6:$B$53"),_xlfn.XLOOKUP($C$10,INDIRECT("'"&amp;$B40&amp;" EI'!$D$4:$Z$4"),INDIRECT("'"&amp;$B40&amp;" EI'!$D$6:$Z$53")))*_xlfn.XLOOKUP($B40&amp;G$15,'Gas Useage'!$A$4:$A$15&amp;'Gas Useage'!$B$4:$B$15,_xlfn.XLOOKUP($C40&amp;G$14,'Gas Useage'!$C$2:$AB$2&amp;'Gas Useage'!$C$3:$AB$3,'Gas Useage'!$C$4:$AB$15))/_xlfn.XLOOKUP($B40&amp;G$15,'Gas Useage'!$A$4:$A$15&amp;'Gas Useage'!$B$4:$B$15,_xlfn.XLOOKUP(G$14,'Gas Useage'!$AA$3:$AB$3,'Gas Useage'!$AA$4:$AB$15))</f>
        <v>4.5302153922522357E-3</v>
      </c>
      <c r="H40" s="260" t="s">
        <v>278</v>
      </c>
      <c r="I40" s="260" t="s">
        <v>278</v>
      </c>
      <c r="J40" s="260" t="s">
        <v>278</v>
      </c>
      <c r="K40" s="261" t="s">
        <v>278</v>
      </c>
      <c r="N40" s="258"/>
      <c r="O40" s="18"/>
      <c r="P40" s="18"/>
      <c r="Q40" s="18"/>
      <c r="R40" s="18"/>
      <c r="S40" s="18"/>
      <c r="T40" s="18"/>
      <c r="U40" s="18"/>
      <c r="V40" s="18"/>
    </row>
    <row r="41" spans="2:22" ht="13.5" x14ac:dyDescent="0.25">
      <c r="B41" s="32">
        <v>2022</v>
      </c>
      <c r="C41" s="494" t="s">
        <v>279</v>
      </c>
      <c r="D41" s="259" cm="1">
        <f t="array" aca="1" ref="D41" ca="1">_xlfn.XLOOKUP(D$13,INDIRECT("'"&amp;$B41&amp;" EI'!$B$6:$B$53"),_xlfn.XLOOKUP($C$10,INDIRECT("'"&amp;$B41&amp;" EI'!$D$4:$Z$4"),INDIRECT("'"&amp;$B41&amp;" EI'!$D$6:$Z$53")))*_xlfn.XLOOKUP($B41&amp;D$15,'Gas Useage'!$A$4:$A$15&amp;'Gas Useage'!$B$4:$B$15,_xlfn.XLOOKUP($C41&amp;D$14,'Gas Useage'!$C$2:$AB$2&amp;'Gas Useage'!$C$3:$AB$3,'Gas Useage'!$C$4:$AB$15))/_xlfn.XLOOKUP($B41&amp;D$15,'Gas Useage'!$A$4:$A$15&amp;'Gas Useage'!$B$4:$B$15,_xlfn.XLOOKUP(D$14,'Gas Useage'!$AA$3:$AB$3,'Gas Useage'!$AA$4:$AB$15))</f>
        <v>2.7328649213437656E-2</v>
      </c>
      <c r="E41" s="259" cm="1">
        <f t="array" aca="1" ref="E41" ca="1">_xlfn.XLOOKUP(E$13,INDIRECT("'"&amp;$B41&amp;" EI'!$B$6:$B$53"),_xlfn.XLOOKUP($C$10,INDIRECT("'"&amp;$B41&amp;" EI'!$D$4:$Z$4"),INDIRECT("'"&amp;$B41&amp;" EI'!$D$6:$Z$53")))*_xlfn.XLOOKUP($B41&amp;E$15,'Gas Useage'!$A$4:$A$15&amp;'Gas Useage'!$B$4:$B$15,_xlfn.XLOOKUP($C41&amp;E$14,'Gas Useage'!$C$2:$AB$2&amp;'Gas Useage'!$C$3:$AB$3,'Gas Useage'!$C$4:$AB$15))/_xlfn.XLOOKUP($B41&amp;E$15,'Gas Useage'!$A$4:$A$15&amp;'Gas Useage'!$B$4:$B$15,_xlfn.XLOOKUP(E$14,'Gas Useage'!$AA$3:$AB$3,'Gas Useage'!$AA$4:$AB$15))</f>
        <v>4.3452958680868748E-3</v>
      </c>
      <c r="F41" s="259" cm="1">
        <f t="array" aca="1" ref="F41" ca="1">_xlfn.XLOOKUP(F$13,INDIRECT("'"&amp;$B41&amp;" EI'!$B$6:$B$53"),_xlfn.XLOOKUP($C$10,INDIRECT("'"&amp;$B41&amp;" EI'!$D$4:$Z$4"),INDIRECT("'"&amp;$B41&amp;" EI'!$D$6:$Z$53")))*_xlfn.XLOOKUP($B41&amp;F$15,'Gas Useage'!$A$4:$A$15&amp;'Gas Useage'!$B$4:$B$15,_xlfn.XLOOKUP($C41&amp;F$14,'Gas Useage'!$C$2:$AB$2&amp;'Gas Useage'!$C$3:$AB$3,'Gas Useage'!$C$4:$AB$15))/_xlfn.XLOOKUP($B41&amp;F$15,'Gas Useage'!$A$4:$A$15&amp;'Gas Useage'!$B$4:$B$15,_xlfn.XLOOKUP(F$14,'Gas Useage'!$AA$3:$AB$3,'Gas Useage'!$AA$4:$AB$15))</f>
        <v>1.8326982646985679E-2</v>
      </c>
      <c r="G41" s="259" cm="1">
        <f t="array" aca="1" ref="G41" ca="1">_xlfn.XLOOKUP(G$13,INDIRECT("'"&amp;$B41&amp;" EI'!$B$6:$B$53"),_xlfn.XLOOKUP($C$10,INDIRECT("'"&amp;$B41&amp;" EI'!$D$4:$Z$4"),INDIRECT("'"&amp;$B41&amp;" EI'!$D$6:$Z$53")))*_xlfn.XLOOKUP($B41&amp;G$15,'Gas Useage'!$A$4:$A$15&amp;'Gas Useage'!$B$4:$B$15,_xlfn.XLOOKUP($C41&amp;G$14,'Gas Useage'!$C$2:$AB$2&amp;'Gas Useage'!$C$3:$AB$3,'Gas Useage'!$C$4:$AB$15))/_xlfn.XLOOKUP($B41&amp;G$15,'Gas Useage'!$A$4:$A$15&amp;'Gas Useage'!$B$4:$B$15,_xlfn.XLOOKUP(G$14,'Gas Useage'!$AA$3:$AB$3,'Gas Useage'!$AA$4:$AB$15))</f>
        <v>2.9140174967480338E-3</v>
      </c>
      <c r="H41" s="260" t="s">
        <v>278</v>
      </c>
      <c r="I41" s="260" t="s">
        <v>278</v>
      </c>
      <c r="J41" s="260" t="s">
        <v>278</v>
      </c>
      <c r="K41" s="261" t="s">
        <v>278</v>
      </c>
      <c r="N41" s="258"/>
      <c r="O41" s="18"/>
      <c r="P41" s="18"/>
      <c r="Q41" s="18"/>
      <c r="R41" s="18"/>
      <c r="S41" s="18"/>
      <c r="T41" s="18"/>
      <c r="U41" s="18"/>
      <c r="V41" s="18"/>
    </row>
    <row r="42" spans="2:22" ht="13.5" x14ac:dyDescent="0.25">
      <c r="B42" s="32">
        <v>2022</v>
      </c>
      <c r="C42" s="494" t="s">
        <v>280</v>
      </c>
      <c r="D42" s="259" cm="1">
        <f t="array" aca="1" ref="D42" ca="1">_xlfn.XLOOKUP(D$13,INDIRECT("'"&amp;$B42&amp;" EI'!$B$6:$B$53"),_xlfn.XLOOKUP($C$10,INDIRECT("'"&amp;$B42&amp;" EI'!$D$4:$Z$4"),INDIRECT("'"&amp;$B42&amp;" EI'!$D$6:$Z$53")))*_xlfn.XLOOKUP($B42&amp;D$15,'Gas Useage'!$A$4:$A$15&amp;'Gas Useage'!$B$4:$B$15,_xlfn.XLOOKUP($C42&amp;D$14,'Gas Useage'!$C$2:$AB$2&amp;'Gas Useage'!$C$3:$AB$3,'Gas Useage'!$C$4:$AB$15))/_xlfn.XLOOKUP($B42&amp;D$15,'Gas Useage'!$A$4:$A$15&amp;'Gas Useage'!$B$4:$B$15,_xlfn.XLOOKUP(D$14,'Gas Useage'!$AA$3:$AB$3,'Gas Useage'!$AA$4:$AB$15))</f>
        <v>3.1667916539849732E-2</v>
      </c>
      <c r="E42" s="259" cm="1">
        <f t="array" aca="1" ref="E42" ca="1">_xlfn.XLOOKUP(E$13,INDIRECT("'"&amp;$B42&amp;" EI'!$B$6:$B$53"),_xlfn.XLOOKUP($C$10,INDIRECT("'"&amp;$B42&amp;" EI'!$D$4:$Z$4"),INDIRECT("'"&amp;$B42&amp;" EI'!$D$6:$Z$53")))*_xlfn.XLOOKUP($B42&amp;E$15,'Gas Useage'!$A$4:$A$15&amp;'Gas Useage'!$B$4:$B$15,_xlfn.XLOOKUP($C42&amp;E$14,'Gas Useage'!$C$2:$AB$2&amp;'Gas Useage'!$C$3:$AB$3,'Gas Useage'!$C$4:$AB$15))/_xlfn.XLOOKUP($B42&amp;E$15,'Gas Useage'!$A$4:$A$15&amp;'Gas Useage'!$B$4:$B$15,_xlfn.XLOOKUP(E$14,'Gas Useage'!$AA$3:$AB$3,'Gas Useage'!$AA$4:$AB$15))</f>
        <v>4.5073080719210236E-3</v>
      </c>
      <c r="F42" s="259" cm="1">
        <f t="array" aca="1" ref="F42" ca="1">_xlfn.XLOOKUP(F$13,INDIRECT("'"&amp;$B42&amp;" EI'!$B$6:$B$53"),_xlfn.XLOOKUP($C$10,INDIRECT("'"&amp;$B42&amp;" EI'!$D$4:$Z$4"),INDIRECT("'"&amp;$B42&amp;" EI'!$D$6:$Z$53")))*_xlfn.XLOOKUP($B42&amp;F$15,'Gas Useage'!$A$4:$A$15&amp;'Gas Useage'!$B$4:$B$15,_xlfn.XLOOKUP($C42&amp;F$14,'Gas Useage'!$C$2:$AB$2&amp;'Gas Useage'!$C$3:$AB$3,'Gas Useage'!$C$4:$AB$15))/_xlfn.XLOOKUP($B42&amp;F$15,'Gas Useage'!$A$4:$A$15&amp;'Gas Useage'!$B$4:$B$15,_xlfn.XLOOKUP(F$14,'Gas Useage'!$AA$3:$AB$3,'Gas Useage'!$AA$4:$AB$15))</f>
        <v>1.5003252084792716E-2</v>
      </c>
      <c r="G42" s="259" cm="1">
        <f t="array" aca="1" ref="G42" ca="1">_xlfn.XLOOKUP(G$13,INDIRECT("'"&amp;$B42&amp;" EI'!$B$6:$B$53"),_xlfn.XLOOKUP($C$10,INDIRECT("'"&amp;$B42&amp;" EI'!$D$4:$Z$4"),INDIRECT("'"&amp;$B42&amp;" EI'!$D$6:$Z$53")))*_xlfn.XLOOKUP($B42&amp;G$15,'Gas Useage'!$A$4:$A$15&amp;'Gas Useage'!$B$4:$B$15,_xlfn.XLOOKUP($C42&amp;G$14,'Gas Useage'!$C$2:$AB$2&amp;'Gas Useage'!$C$3:$AB$3,'Gas Useage'!$C$4:$AB$15))/_xlfn.XLOOKUP($B42&amp;G$15,'Gas Useage'!$A$4:$A$15&amp;'Gas Useage'!$B$4:$B$15,_xlfn.XLOOKUP(G$14,'Gas Useage'!$AA$3:$AB$3,'Gas Useage'!$AA$4:$AB$15))</f>
        <v>2.1354192702180527E-3</v>
      </c>
      <c r="H42" s="260" t="s">
        <v>278</v>
      </c>
      <c r="I42" s="260" t="s">
        <v>278</v>
      </c>
      <c r="J42" s="260" t="s">
        <v>278</v>
      </c>
      <c r="K42" s="261" t="s">
        <v>278</v>
      </c>
      <c r="N42" s="258"/>
      <c r="O42" s="18"/>
      <c r="P42" s="18"/>
      <c r="Q42" s="18"/>
      <c r="R42" s="18"/>
      <c r="S42" s="18"/>
      <c r="T42" s="18"/>
      <c r="U42" s="18"/>
      <c r="V42" s="18"/>
    </row>
    <row r="43" spans="2:22" ht="13.5" x14ac:dyDescent="0.25">
      <c r="B43" s="32">
        <v>2022</v>
      </c>
      <c r="C43" s="494" t="s">
        <v>281</v>
      </c>
      <c r="D43" s="259" cm="1">
        <f t="array" aca="1" ref="D43" ca="1">_xlfn.XLOOKUP(D$13,INDIRECT("'"&amp;$B43&amp;" EI'!$B$6:$B$53"),_xlfn.XLOOKUP($C$10,INDIRECT("'"&amp;$B43&amp;" EI'!$D$4:$Z$4"),INDIRECT("'"&amp;$B43&amp;" EI'!$D$6:$Z$53")))*_xlfn.XLOOKUP($B43&amp;D$15,'Gas Useage'!$A$4:$A$15&amp;'Gas Useage'!$B$4:$B$15,_xlfn.XLOOKUP($C43&amp;D$14,'Gas Useage'!$C$2:$AB$2&amp;'Gas Useage'!$C$3:$AB$3,'Gas Useage'!$C$4:$AB$15))/_xlfn.XLOOKUP($B43&amp;D$15,'Gas Useage'!$A$4:$A$15&amp;'Gas Useage'!$B$4:$B$15,_xlfn.XLOOKUP(D$14,'Gas Useage'!$AA$3:$AB$3,'Gas Useage'!$AA$4:$AB$15))</f>
        <v>3.246497225830805E-2</v>
      </c>
      <c r="E43" s="259" cm="1">
        <f t="array" aca="1" ref="E43" ca="1">_xlfn.XLOOKUP(E$13,INDIRECT("'"&amp;$B43&amp;" EI'!$B$6:$B$53"),_xlfn.XLOOKUP($C$10,INDIRECT("'"&amp;$B43&amp;" EI'!$D$4:$Z$4"),INDIRECT("'"&amp;$B43&amp;" EI'!$D$6:$Z$53")))*_xlfn.XLOOKUP($B43&amp;E$15,'Gas Useage'!$A$4:$A$15&amp;'Gas Useage'!$B$4:$B$15,_xlfn.XLOOKUP($C43&amp;E$14,'Gas Useage'!$C$2:$AB$2&amp;'Gas Useage'!$C$3:$AB$3,'Gas Useage'!$C$4:$AB$15))/_xlfn.XLOOKUP($B43&amp;E$15,'Gas Useage'!$A$4:$A$15&amp;'Gas Useage'!$B$4:$B$15,_xlfn.XLOOKUP(E$14,'Gas Useage'!$AA$3:$AB$3,'Gas Useage'!$AA$4:$AB$15))</f>
        <v>5.1009540095020697E-3</v>
      </c>
      <c r="F43" s="259" cm="1">
        <f t="array" aca="1" ref="F43" ca="1">_xlfn.XLOOKUP(F$13,INDIRECT("'"&amp;$B43&amp;" EI'!$B$6:$B$53"),_xlfn.XLOOKUP($C$10,INDIRECT("'"&amp;$B43&amp;" EI'!$D$4:$Z$4"),INDIRECT("'"&amp;$B43&amp;" EI'!$D$6:$Z$53")))*_xlfn.XLOOKUP($B43&amp;F$15,'Gas Useage'!$A$4:$A$15&amp;'Gas Useage'!$B$4:$B$15,_xlfn.XLOOKUP($C43&amp;F$14,'Gas Useage'!$C$2:$AB$2&amp;'Gas Useage'!$C$3:$AB$3,'Gas Useage'!$C$4:$AB$15))/_xlfn.XLOOKUP($B43&amp;F$15,'Gas Useage'!$A$4:$A$15&amp;'Gas Useage'!$B$4:$B$15,_xlfn.XLOOKUP(F$14,'Gas Useage'!$AA$3:$AB$3,'Gas Useage'!$AA$4:$AB$15))</f>
        <v>2.6183800977990376E-2</v>
      </c>
      <c r="G43" s="259" cm="1">
        <f t="array" aca="1" ref="G43" ca="1">_xlfn.XLOOKUP(G$13,INDIRECT("'"&amp;$B43&amp;" EI'!$B$6:$B$53"),_xlfn.XLOOKUP($C$10,INDIRECT("'"&amp;$B43&amp;" EI'!$D$4:$Z$4"),INDIRECT("'"&amp;$B43&amp;" EI'!$D$6:$Z$53")))*_xlfn.XLOOKUP($B43&amp;G$15,'Gas Useage'!$A$4:$A$15&amp;'Gas Useage'!$B$4:$B$15,_xlfn.XLOOKUP($C43&amp;G$14,'Gas Useage'!$C$2:$AB$2&amp;'Gas Useage'!$C$3:$AB$3,'Gas Useage'!$C$4:$AB$15))/_xlfn.XLOOKUP($B43&amp;G$15,'Gas Useage'!$A$4:$A$15&amp;'Gas Useage'!$B$4:$B$15,_xlfn.XLOOKUP(G$14,'Gas Useage'!$AA$3:$AB$3,'Gas Useage'!$AA$4:$AB$15))</f>
        <v>4.1140452398971189E-3</v>
      </c>
      <c r="H43" s="260" t="s">
        <v>278</v>
      </c>
      <c r="I43" s="260" t="s">
        <v>278</v>
      </c>
      <c r="J43" s="260" t="s">
        <v>278</v>
      </c>
      <c r="K43" s="261" t="s">
        <v>278</v>
      </c>
      <c r="N43" s="258"/>
      <c r="O43" s="18"/>
      <c r="P43" s="18"/>
      <c r="Q43" s="18"/>
      <c r="R43" s="18"/>
      <c r="S43" s="18"/>
      <c r="T43" s="18"/>
      <c r="U43" s="18"/>
      <c r="V43" s="18"/>
    </row>
    <row r="44" spans="2:22" ht="13.5" x14ac:dyDescent="0.25">
      <c r="B44" s="32">
        <v>2022</v>
      </c>
      <c r="C44" s="494" t="s">
        <v>282</v>
      </c>
      <c r="D44" s="259" cm="1">
        <f t="array" aca="1" ref="D44" ca="1">_xlfn.XLOOKUP(D$13,INDIRECT("'"&amp;$B44&amp;" EI'!$B$6:$B$53"),_xlfn.XLOOKUP($C$10,INDIRECT("'"&amp;$B44&amp;" EI'!$D$4:$Z$4"),INDIRECT("'"&amp;$B44&amp;" EI'!$D$6:$Z$53")))*_xlfn.XLOOKUP($B44&amp;D$15,'Gas Useage'!$A$4:$A$15&amp;'Gas Useage'!$B$4:$B$15,_xlfn.XLOOKUP($C44&amp;D$14,'Gas Useage'!$C$2:$AB$2&amp;'Gas Useage'!$C$3:$AB$3,'Gas Useage'!$C$4:$AB$15))/_xlfn.XLOOKUP($B44&amp;D$15,'Gas Useage'!$A$4:$A$15&amp;'Gas Useage'!$B$4:$B$15,_xlfn.XLOOKUP(D$14,'Gas Useage'!$AA$3:$AB$3,'Gas Useage'!$AA$4:$AB$15))</f>
        <v>2.2324439220580385E-2</v>
      </c>
      <c r="E44" s="259" cm="1">
        <f t="array" aca="1" ref="E44" ca="1">_xlfn.XLOOKUP(E$13,INDIRECT("'"&amp;$B44&amp;" EI'!$B$6:$B$53"),_xlfn.XLOOKUP($C$10,INDIRECT("'"&amp;$B44&amp;" EI'!$D$4:$Z$4"),INDIRECT("'"&amp;$B44&amp;" EI'!$D$6:$Z$53")))*_xlfn.XLOOKUP($B44&amp;E$15,'Gas Useage'!$A$4:$A$15&amp;'Gas Useage'!$B$4:$B$15,_xlfn.XLOOKUP($C44&amp;E$14,'Gas Useage'!$C$2:$AB$2&amp;'Gas Useage'!$C$3:$AB$3,'Gas Useage'!$C$4:$AB$15))/_xlfn.XLOOKUP($B44&amp;E$15,'Gas Useage'!$A$4:$A$15&amp;'Gas Useage'!$B$4:$B$15,_xlfn.XLOOKUP(E$14,'Gas Useage'!$AA$3:$AB$3,'Gas Useage'!$AA$4:$AB$15))</f>
        <v>3.6552446406291302E-3</v>
      </c>
      <c r="F44" s="259" cm="1">
        <f t="array" aca="1" ref="F44" ca="1">_xlfn.XLOOKUP(F$13,INDIRECT("'"&amp;$B44&amp;" EI'!$B$6:$B$53"),_xlfn.XLOOKUP($C$10,INDIRECT("'"&amp;$B44&amp;" EI'!$D$4:$Z$4"),INDIRECT("'"&amp;$B44&amp;" EI'!$D$6:$Z$53")))*_xlfn.XLOOKUP($B44&amp;F$15,'Gas Useage'!$A$4:$A$15&amp;'Gas Useage'!$B$4:$B$15,_xlfn.XLOOKUP($C44&amp;F$14,'Gas Useage'!$C$2:$AB$2&amp;'Gas Useage'!$C$3:$AB$3,'Gas Useage'!$C$4:$AB$15))/_xlfn.XLOOKUP($B44&amp;F$15,'Gas Useage'!$A$4:$A$15&amp;'Gas Useage'!$B$4:$B$15,_xlfn.XLOOKUP(F$14,'Gas Useage'!$AA$3:$AB$3,'Gas Useage'!$AA$4:$AB$15))</f>
        <v>1.2940547643406972E-2</v>
      </c>
      <c r="G44" s="259" cm="1">
        <f t="array" aca="1" ref="G44" ca="1">_xlfn.XLOOKUP(G$13,INDIRECT("'"&amp;$B44&amp;" EI'!$B$6:$B$53"),_xlfn.XLOOKUP($C$10,INDIRECT("'"&amp;$B44&amp;" EI'!$D$4:$Z$4"),INDIRECT("'"&amp;$B44&amp;" EI'!$D$6:$Z$53")))*_xlfn.XLOOKUP($B44&amp;G$15,'Gas Useage'!$A$4:$A$15&amp;'Gas Useage'!$B$4:$B$15,_xlfn.XLOOKUP($C44&amp;G$14,'Gas Useage'!$C$2:$AB$2&amp;'Gas Useage'!$C$3:$AB$3,'Gas Useage'!$C$4:$AB$15))/_xlfn.XLOOKUP($B44&amp;G$15,'Gas Useage'!$A$4:$A$15&amp;'Gas Useage'!$B$4:$B$15,_xlfn.XLOOKUP(G$14,'Gas Useage'!$AA$3:$AB$3,'Gas Useage'!$AA$4:$AB$15))</f>
        <v>2.1187930838040335E-3</v>
      </c>
      <c r="H44" s="260" t="s">
        <v>278</v>
      </c>
      <c r="I44" s="260" t="s">
        <v>278</v>
      </c>
      <c r="J44" s="260" t="s">
        <v>278</v>
      </c>
      <c r="K44" s="261" t="s">
        <v>278</v>
      </c>
      <c r="N44" s="258"/>
      <c r="O44" s="18"/>
      <c r="P44" s="18"/>
      <c r="Q44" s="18"/>
      <c r="R44" s="18"/>
      <c r="S44" s="18"/>
      <c r="T44" s="18"/>
      <c r="U44" s="18"/>
      <c r="V44" s="18"/>
    </row>
    <row r="45" spans="2:22" ht="13.5" x14ac:dyDescent="0.25">
      <c r="B45" s="32">
        <v>2022</v>
      </c>
      <c r="C45" s="494" t="s">
        <v>283</v>
      </c>
      <c r="D45" s="259" cm="1">
        <f t="array" aca="1" ref="D45" ca="1">_xlfn.XLOOKUP(D$13,INDIRECT("'"&amp;$B45&amp;" EI'!$B$6:$B$53"),_xlfn.XLOOKUP($C$10,INDIRECT("'"&amp;$B45&amp;" EI'!$D$4:$Z$4"),INDIRECT("'"&amp;$B45&amp;" EI'!$D$6:$Z$53")))*_xlfn.XLOOKUP($B45&amp;D$15,'Gas Useage'!$A$4:$A$15&amp;'Gas Useage'!$B$4:$B$15,_xlfn.XLOOKUP($C45&amp;D$14,'Gas Useage'!$C$2:$AB$2&amp;'Gas Useage'!$C$3:$AB$3,'Gas Useage'!$C$4:$AB$15))/_xlfn.XLOOKUP($B45&amp;D$15,'Gas Useage'!$A$4:$A$15&amp;'Gas Useage'!$B$4:$B$15,_xlfn.XLOOKUP(D$14,'Gas Useage'!$AA$3:$AB$3,'Gas Useage'!$AA$4:$AB$15))</f>
        <v>5.6972021217747172E-3</v>
      </c>
      <c r="E45" s="259" cm="1">
        <f t="array" aca="1" ref="E45" ca="1">_xlfn.XLOOKUP(E$13,INDIRECT("'"&amp;$B45&amp;" EI'!$B$6:$B$53"),_xlfn.XLOOKUP($C$10,INDIRECT("'"&amp;$B45&amp;" EI'!$D$4:$Z$4"),INDIRECT("'"&amp;$B45&amp;" EI'!$D$6:$Z$53")))*_xlfn.XLOOKUP($B45&amp;E$15,'Gas Useage'!$A$4:$A$15&amp;'Gas Useage'!$B$4:$B$15,_xlfn.XLOOKUP($C45&amp;E$14,'Gas Useage'!$C$2:$AB$2&amp;'Gas Useage'!$C$3:$AB$3,'Gas Useage'!$C$4:$AB$15))/_xlfn.XLOOKUP($B45&amp;E$15,'Gas Useage'!$A$4:$A$15&amp;'Gas Useage'!$B$4:$B$15,_xlfn.XLOOKUP(E$14,'Gas Useage'!$AA$3:$AB$3,'Gas Useage'!$AA$4:$AB$15))</f>
        <v>9.7503236834164215E-4</v>
      </c>
      <c r="F45" s="259" cm="1">
        <f t="array" aca="1" ref="F45" ca="1">_xlfn.XLOOKUP(F$13,INDIRECT("'"&amp;$B45&amp;" EI'!$B$6:$B$53"),_xlfn.XLOOKUP($C$10,INDIRECT("'"&amp;$B45&amp;" EI'!$D$4:$Z$4"),INDIRECT("'"&amp;$B45&amp;" EI'!$D$6:$Z$53")))*_xlfn.XLOOKUP($B45&amp;F$15,'Gas Useage'!$A$4:$A$15&amp;'Gas Useage'!$B$4:$B$15,_xlfn.XLOOKUP($C45&amp;F$14,'Gas Useage'!$C$2:$AB$2&amp;'Gas Useage'!$C$3:$AB$3,'Gas Useage'!$C$4:$AB$15))/_xlfn.XLOOKUP($B45&amp;F$15,'Gas Useage'!$A$4:$A$15&amp;'Gas Useage'!$B$4:$B$15,_xlfn.XLOOKUP(F$14,'Gas Useage'!$AA$3:$AB$3,'Gas Useage'!$AA$4:$AB$15))</f>
        <v>3.9403052496799597E-3</v>
      </c>
      <c r="G45" s="259" cm="1">
        <f t="array" aca="1" ref="G45" ca="1">_xlfn.XLOOKUP(G$13,INDIRECT("'"&amp;$B45&amp;" EI'!$B$6:$B$53"),_xlfn.XLOOKUP($C$10,INDIRECT("'"&amp;$B45&amp;" EI'!$D$4:$Z$4"),INDIRECT("'"&amp;$B45&amp;" EI'!$D$6:$Z$53")))*_xlfn.XLOOKUP($B45&amp;G$15,'Gas Useage'!$A$4:$A$15&amp;'Gas Useage'!$B$4:$B$15,_xlfn.XLOOKUP($C45&amp;G$14,'Gas Useage'!$C$2:$AB$2&amp;'Gas Useage'!$C$3:$AB$3,'Gas Useage'!$C$4:$AB$15))/_xlfn.XLOOKUP($B45&amp;G$15,'Gas Useage'!$A$4:$A$15&amp;'Gas Useage'!$B$4:$B$15,_xlfn.XLOOKUP(G$14,'Gas Useage'!$AA$3:$AB$3,'Gas Useage'!$AA$4:$AB$15))</f>
        <v>6.743529679069328E-4</v>
      </c>
      <c r="H45" s="260" t="s">
        <v>278</v>
      </c>
      <c r="I45" s="260" t="s">
        <v>278</v>
      </c>
      <c r="J45" s="260" t="s">
        <v>278</v>
      </c>
      <c r="K45" s="261" t="s">
        <v>278</v>
      </c>
      <c r="N45" s="258"/>
      <c r="O45" s="18"/>
      <c r="P45" s="18"/>
      <c r="Q45" s="18"/>
      <c r="R45" s="18"/>
      <c r="S45" s="18"/>
      <c r="T45" s="18"/>
      <c r="U45" s="18"/>
      <c r="V45" s="18"/>
    </row>
    <row r="46" spans="2:22" ht="13.5" x14ac:dyDescent="0.25">
      <c r="B46" s="32">
        <v>2022</v>
      </c>
      <c r="C46" s="494" t="s">
        <v>284</v>
      </c>
      <c r="D46" s="259" cm="1">
        <f t="array" aca="1" ref="D46" ca="1">_xlfn.XLOOKUP(D$13,INDIRECT("'"&amp;$B46&amp;" EI'!$B$6:$B$53"),_xlfn.XLOOKUP($C$10,INDIRECT("'"&amp;$B46&amp;" EI'!$D$4:$Z$4"),INDIRECT("'"&amp;$B46&amp;" EI'!$D$6:$Z$53")))*_xlfn.XLOOKUP($B46&amp;D$15,'Gas Useage'!$A$4:$A$15&amp;'Gas Useage'!$B$4:$B$15,_xlfn.XLOOKUP($C46&amp;D$14,'Gas Useage'!$C$2:$AB$2&amp;'Gas Useage'!$C$3:$AB$3,'Gas Useage'!$C$4:$AB$15))/_xlfn.XLOOKUP($B46&amp;D$15,'Gas Useage'!$A$4:$A$15&amp;'Gas Useage'!$B$4:$B$15,_xlfn.XLOOKUP(D$14,'Gas Useage'!$AA$3:$AB$3,'Gas Useage'!$AA$4:$AB$15))</f>
        <v>1.6507694605684443E-2</v>
      </c>
      <c r="E46" s="259" cm="1">
        <f t="array" aca="1" ref="E46" ca="1">_xlfn.XLOOKUP(E$13,INDIRECT("'"&amp;$B46&amp;" EI'!$B$6:$B$53"),_xlfn.XLOOKUP($C$10,INDIRECT("'"&amp;$B46&amp;" EI'!$D$4:$Z$4"),INDIRECT("'"&amp;$B46&amp;" EI'!$D$6:$Z$53")))*_xlfn.XLOOKUP($B46&amp;E$15,'Gas Useage'!$A$4:$A$15&amp;'Gas Useage'!$B$4:$B$15,_xlfn.XLOOKUP($C46&amp;E$14,'Gas Useage'!$C$2:$AB$2&amp;'Gas Useage'!$C$3:$AB$3,'Gas Useage'!$C$4:$AB$15))/_xlfn.XLOOKUP($B46&amp;E$15,'Gas Useage'!$A$4:$A$15&amp;'Gas Useage'!$B$4:$B$15,_xlfn.XLOOKUP(E$14,'Gas Useage'!$AA$3:$AB$3,'Gas Useage'!$AA$4:$AB$15))</f>
        <v>3.2563508485335671E-3</v>
      </c>
      <c r="F46" s="259" cm="1">
        <f t="array" aca="1" ref="F46" ca="1">_xlfn.XLOOKUP(F$13,INDIRECT("'"&amp;$B46&amp;" EI'!$B$6:$B$53"),_xlfn.XLOOKUP($C$10,INDIRECT("'"&amp;$B46&amp;" EI'!$D$4:$Z$4"),INDIRECT("'"&amp;$B46&amp;" EI'!$D$6:$Z$53")))*_xlfn.XLOOKUP($B46&amp;F$15,'Gas Useage'!$A$4:$A$15&amp;'Gas Useage'!$B$4:$B$15,_xlfn.XLOOKUP($C46&amp;F$14,'Gas Useage'!$C$2:$AB$2&amp;'Gas Useage'!$C$3:$AB$3,'Gas Useage'!$C$4:$AB$15))/_xlfn.XLOOKUP($B46&amp;F$15,'Gas Useage'!$A$4:$A$15&amp;'Gas Useage'!$B$4:$B$15,_xlfn.XLOOKUP(F$14,'Gas Useage'!$AA$3:$AB$3,'Gas Useage'!$AA$4:$AB$15))</f>
        <v>1.5604080668835573E-2</v>
      </c>
      <c r="G46" s="259" cm="1">
        <f t="array" aca="1" ref="G46" ca="1">_xlfn.XLOOKUP(G$13,INDIRECT("'"&amp;$B46&amp;" EI'!$B$6:$B$53"),_xlfn.XLOOKUP($C$10,INDIRECT("'"&amp;$B46&amp;" EI'!$D$4:$Z$4"),INDIRECT("'"&amp;$B46&amp;" EI'!$D$6:$Z$53")))*_xlfn.XLOOKUP($B46&amp;G$15,'Gas Useage'!$A$4:$A$15&amp;'Gas Useage'!$B$4:$B$15,_xlfn.XLOOKUP($C46&amp;G$14,'Gas Useage'!$C$2:$AB$2&amp;'Gas Useage'!$C$3:$AB$3,'Gas Useage'!$C$4:$AB$15))/_xlfn.XLOOKUP($B46&amp;G$15,'Gas Useage'!$A$4:$A$15&amp;'Gas Useage'!$B$4:$B$15,_xlfn.XLOOKUP(G$14,'Gas Useage'!$AA$3:$AB$3,'Gas Useage'!$AA$4:$AB$15))</f>
        <v>3.0781016089946106E-3</v>
      </c>
      <c r="H46" s="260" t="s">
        <v>278</v>
      </c>
      <c r="I46" s="260" t="s">
        <v>278</v>
      </c>
      <c r="J46" s="260" t="s">
        <v>278</v>
      </c>
      <c r="K46" s="261" t="s">
        <v>278</v>
      </c>
      <c r="N46" s="258"/>
      <c r="O46" s="18"/>
      <c r="P46" s="18"/>
      <c r="Q46" s="18"/>
      <c r="R46" s="18"/>
      <c r="S46" s="18"/>
      <c r="T46" s="18"/>
      <c r="U46" s="18"/>
      <c r="V46" s="18"/>
    </row>
    <row r="47" spans="2:22" ht="13.5" x14ac:dyDescent="0.25">
      <c r="B47" s="32">
        <v>2022</v>
      </c>
      <c r="C47" s="494" t="s">
        <v>285</v>
      </c>
      <c r="D47" s="259" cm="1">
        <f t="array" aca="1" ref="D47" ca="1">_xlfn.XLOOKUP(D$13,INDIRECT("'"&amp;$B47&amp;" EI'!$B$6:$B$53"),_xlfn.XLOOKUP($C$10,INDIRECT("'"&amp;$B47&amp;" EI'!$D$4:$Z$4"),INDIRECT("'"&amp;$B47&amp;" EI'!$D$6:$Z$53")))*_xlfn.XLOOKUP($B47&amp;D$15,'Gas Useage'!$A$4:$A$15&amp;'Gas Useage'!$B$4:$B$15,_xlfn.XLOOKUP($C47&amp;D$14,'Gas Useage'!$C$2:$AB$2&amp;'Gas Useage'!$C$3:$AB$3,'Gas Useage'!$C$4:$AB$15))/_xlfn.XLOOKUP($B47&amp;D$15,'Gas Useage'!$A$4:$A$15&amp;'Gas Useage'!$B$4:$B$15,_xlfn.XLOOKUP(D$14,'Gas Useage'!$AA$3:$AB$3,'Gas Useage'!$AA$4:$AB$15))</f>
        <v>4.1794755807265861E-2</v>
      </c>
      <c r="E47" s="259" cm="1">
        <f t="array" aca="1" ref="E47" ca="1">_xlfn.XLOOKUP(E$13,INDIRECT("'"&amp;$B47&amp;" EI'!$B$6:$B$53"),_xlfn.XLOOKUP($C$10,INDIRECT("'"&amp;$B47&amp;" EI'!$D$4:$Z$4"),INDIRECT("'"&amp;$B47&amp;" EI'!$D$6:$Z$53")))*_xlfn.XLOOKUP($B47&amp;E$15,'Gas Useage'!$A$4:$A$15&amp;'Gas Useage'!$B$4:$B$15,_xlfn.XLOOKUP($C47&amp;E$14,'Gas Useage'!$C$2:$AB$2&amp;'Gas Useage'!$C$3:$AB$3,'Gas Useage'!$C$4:$AB$15))/_xlfn.XLOOKUP($B47&amp;E$15,'Gas Useage'!$A$4:$A$15&amp;'Gas Useage'!$B$4:$B$15,_xlfn.XLOOKUP(E$14,'Gas Useage'!$AA$3:$AB$3,'Gas Useage'!$AA$4:$AB$15))</f>
        <v>5.8433247970358041E-3</v>
      </c>
      <c r="F47" s="259" cm="1">
        <f t="array" aca="1" ref="F47" ca="1">_xlfn.XLOOKUP(F$13,INDIRECT("'"&amp;$B47&amp;" EI'!$B$6:$B$53"),_xlfn.XLOOKUP($C$10,INDIRECT("'"&amp;$B47&amp;" EI'!$D$4:$Z$4"),INDIRECT("'"&amp;$B47&amp;" EI'!$D$6:$Z$53")))*_xlfn.XLOOKUP($B47&amp;F$15,'Gas Useage'!$A$4:$A$15&amp;'Gas Useage'!$B$4:$B$15,_xlfn.XLOOKUP($C47&amp;F$14,'Gas Useage'!$C$2:$AB$2&amp;'Gas Useage'!$C$3:$AB$3,'Gas Useage'!$C$4:$AB$15))/_xlfn.XLOOKUP($B47&amp;F$15,'Gas Useage'!$A$4:$A$15&amp;'Gas Useage'!$B$4:$B$15,_xlfn.XLOOKUP(F$14,'Gas Useage'!$AA$3:$AB$3,'Gas Useage'!$AA$4:$AB$15))</f>
        <v>3.0364314000668458E-2</v>
      </c>
      <c r="G47" s="259" cm="1">
        <f t="array" aca="1" ref="G47" ca="1">_xlfn.XLOOKUP(G$13,INDIRECT("'"&amp;$B47&amp;" EI'!$B$6:$B$53"),_xlfn.XLOOKUP($C$10,INDIRECT("'"&amp;$B47&amp;" EI'!$D$4:$Z$4"),INDIRECT("'"&amp;$B47&amp;" EI'!$D$6:$Z$53")))*_xlfn.XLOOKUP($B47&amp;G$15,'Gas Useage'!$A$4:$A$15&amp;'Gas Useage'!$B$4:$B$15,_xlfn.XLOOKUP($C47&amp;G$14,'Gas Useage'!$C$2:$AB$2&amp;'Gas Useage'!$C$3:$AB$3,'Gas Useage'!$C$4:$AB$15))/_xlfn.XLOOKUP($B47&amp;G$15,'Gas Useage'!$A$4:$A$15&amp;'Gas Useage'!$B$4:$B$15,_xlfn.XLOOKUP(G$14,'Gas Useage'!$AA$3:$AB$3,'Gas Useage'!$AA$4:$AB$15))</f>
        <v>4.245234731440688E-3</v>
      </c>
      <c r="H47" s="260" t="s">
        <v>278</v>
      </c>
      <c r="I47" s="260" t="s">
        <v>278</v>
      </c>
      <c r="J47" s="260" t="s">
        <v>278</v>
      </c>
      <c r="K47" s="261" t="s">
        <v>278</v>
      </c>
      <c r="N47" s="258"/>
      <c r="O47" s="18"/>
      <c r="P47" s="18"/>
      <c r="Q47" s="18"/>
      <c r="R47" s="18"/>
      <c r="S47" s="18"/>
      <c r="T47" s="18"/>
      <c r="U47" s="18"/>
      <c r="V47" s="18"/>
    </row>
    <row r="48" spans="2:22" ht="14.25" thickBot="1" x14ac:dyDescent="0.3">
      <c r="B48" s="33">
        <v>2022</v>
      </c>
      <c r="C48" s="499" t="s">
        <v>286</v>
      </c>
      <c r="D48" s="262" cm="1">
        <f t="array" aca="1" ref="D48" ca="1">_xlfn.XLOOKUP(D$13,INDIRECT("'"&amp;$B48&amp;" EI'!$B$6:$B$53"),_xlfn.XLOOKUP($C$10,INDIRECT("'"&amp;$B48&amp;" EI'!$D$4:$Z$4"),INDIRECT("'"&amp;$B48&amp;" EI'!$D$6:$Z$53")))*_xlfn.XLOOKUP($B48&amp;D$15,'Gas Useage'!$A$4:$A$15&amp;'Gas Useage'!$B$4:$B$15,_xlfn.XLOOKUP($C48&amp;D$14,'Gas Useage'!$C$2:$AB$2&amp;'Gas Useage'!$C$3:$AB$3,'Gas Useage'!$C$4:$AB$15))/_xlfn.XLOOKUP($B48&amp;D$15,'Gas Useage'!$A$4:$A$15&amp;'Gas Useage'!$B$4:$B$15,_xlfn.XLOOKUP(D$14,'Gas Useage'!$AA$3:$AB$3,'Gas Useage'!$AA$4:$AB$15))</f>
        <v>1.4255380896215326E-2</v>
      </c>
      <c r="E48" s="262" cm="1">
        <f t="array" aca="1" ref="E48" ca="1">_xlfn.XLOOKUP(E$13,INDIRECT("'"&amp;$B48&amp;" EI'!$B$6:$B$53"),_xlfn.XLOOKUP($C$10,INDIRECT("'"&amp;$B48&amp;" EI'!$D$4:$Z$4"),INDIRECT("'"&amp;$B48&amp;" EI'!$D$6:$Z$53")))*_xlfn.XLOOKUP($B48&amp;E$15,'Gas Useage'!$A$4:$A$15&amp;'Gas Useage'!$B$4:$B$15,_xlfn.XLOOKUP($C48&amp;E$14,'Gas Useage'!$C$2:$AB$2&amp;'Gas Useage'!$C$3:$AB$3,'Gas Useage'!$C$4:$AB$15))/_xlfn.XLOOKUP($B48&amp;E$15,'Gas Useage'!$A$4:$A$15&amp;'Gas Useage'!$B$4:$B$15,_xlfn.XLOOKUP(E$14,'Gas Useage'!$AA$3:$AB$3,'Gas Useage'!$AA$4:$AB$15))</f>
        <v>2.4867252110702116E-3</v>
      </c>
      <c r="F48" s="262" cm="1">
        <f t="array" aca="1" ref="F48" ca="1">_xlfn.XLOOKUP(F$13,INDIRECT("'"&amp;$B48&amp;" EI'!$B$6:$B$53"),_xlfn.XLOOKUP($C$10,INDIRECT("'"&amp;$B48&amp;" EI'!$D$4:$Z$4"),INDIRECT("'"&amp;$B48&amp;" EI'!$D$6:$Z$53")))*_xlfn.XLOOKUP($B48&amp;F$15,'Gas Useage'!$A$4:$A$15&amp;'Gas Useage'!$B$4:$B$15,_xlfn.XLOOKUP($C48&amp;F$14,'Gas Useage'!$C$2:$AB$2&amp;'Gas Useage'!$C$3:$AB$3,'Gas Useage'!$C$4:$AB$15))/_xlfn.XLOOKUP($B48&amp;F$15,'Gas Useage'!$A$4:$A$15&amp;'Gas Useage'!$B$4:$B$15,_xlfn.XLOOKUP(F$14,'Gas Useage'!$AA$3:$AB$3,'Gas Useage'!$AA$4:$AB$15))</f>
        <v>8.0792208038078395E-3</v>
      </c>
      <c r="G48" s="262" cm="1">
        <f t="array" aca="1" ref="G48" ca="1">_xlfn.XLOOKUP(G$13,INDIRECT("'"&amp;$B48&amp;" EI'!$B$6:$B$53"),_xlfn.XLOOKUP($C$10,INDIRECT("'"&amp;$B48&amp;" EI'!$D$4:$Z$4"),INDIRECT("'"&amp;$B48&amp;" EI'!$D$6:$Z$53")))*_xlfn.XLOOKUP($B48&amp;G$15,'Gas Useage'!$A$4:$A$15&amp;'Gas Useage'!$B$4:$B$15,_xlfn.XLOOKUP($C48&amp;G$14,'Gas Useage'!$C$2:$AB$2&amp;'Gas Useage'!$C$3:$AB$3,'Gas Useage'!$C$4:$AB$15))/_xlfn.XLOOKUP($B48&amp;G$15,'Gas Useage'!$A$4:$A$15&amp;'Gas Useage'!$B$4:$B$15,_xlfn.XLOOKUP(G$14,'Gas Useage'!$AA$3:$AB$3,'Gas Useage'!$AA$4:$AB$15))</f>
        <v>1.4093486666474004E-3</v>
      </c>
      <c r="H48" s="263">
        <f t="shared" ref="H48:K48" ca="1" si="0">IFERROR(SUM(D25:D48)/2,"--")</f>
        <v>0.2996050314473882</v>
      </c>
      <c r="I48" s="263">
        <f t="shared" ca="1" si="0"/>
        <v>3.8909661129151757E-2</v>
      </c>
      <c r="J48" s="263">
        <f t="shared" ca="1" si="0"/>
        <v>0.30311705410695611</v>
      </c>
      <c r="K48" s="264">
        <f t="shared" ca="1" si="0"/>
        <v>3.8164579293820958E-2</v>
      </c>
      <c r="N48" s="258"/>
      <c r="O48" s="18"/>
      <c r="P48" s="18"/>
      <c r="Q48" s="18"/>
      <c r="R48" s="18"/>
      <c r="S48" s="18"/>
      <c r="T48" s="18"/>
      <c r="U48" s="18"/>
      <c r="V48" s="18"/>
    </row>
    <row r="49" spans="2:22" ht="13.5" hidden="1" x14ac:dyDescent="0.25">
      <c r="B49" s="495">
        <v>2022</v>
      </c>
      <c r="C49" s="284" t="s">
        <v>287</v>
      </c>
      <c r="D49" s="496" cm="1">
        <f t="array" aca="1" ref="D49" ca="1">_xlfn.XLOOKUP(D$13,INDIRECT("'"&amp;$B49&amp;" EI'!$B$6:$B$53"),_xlfn.XLOOKUP($C$10,INDIRECT("'"&amp;$B49&amp;" EI'!$D$4:$Z$4"),INDIRECT("'"&amp;$B49&amp;" EI'!$D$6:$Z$53")))*_xlfn.XLOOKUP($B49&amp;D$15,'Gas Useage'!$A$4:$A$15&amp;'Gas Useage'!$B$4:$B$15,_xlfn.XLOOKUP($C49&amp;D$14,'Gas Useage'!$C$2:$AB$2&amp;'Gas Useage'!$C$3:$AB$3,'Gas Useage'!$C$4:$AB$15))/_xlfn.XLOOKUP($B49&amp;D$15,'Gas Useage'!$A$4:$A$15&amp;'Gas Useage'!$B$4:$B$15,_xlfn.XLOOKUP(D$14,'Gas Useage'!$AA$3:$AB$3,'Gas Useage'!$AA$4:$AB$15))</f>
        <v>1.0051691388523033E-2</v>
      </c>
      <c r="E49" s="496" cm="1">
        <f t="array" aca="1" ref="E49" ca="1">_xlfn.XLOOKUP(E$13,INDIRECT("'"&amp;$B49&amp;" EI'!$B$6:$B$53"),_xlfn.XLOOKUP($C$10,INDIRECT("'"&amp;$B49&amp;" EI'!$D$4:$Z$4"),INDIRECT("'"&amp;$B49&amp;" EI'!$D$6:$Z$53")))*_xlfn.XLOOKUP($B49&amp;E$15,'Gas Useage'!$A$4:$A$15&amp;'Gas Useage'!$B$4:$B$15,_xlfn.XLOOKUP($C49&amp;E$14,'Gas Useage'!$C$2:$AB$2&amp;'Gas Useage'!$C$3:$AB$3,'Gas Useage'!$C$4:$AB$15))/_xlfn.XLOOKUP($B49&amp;E$15,'Gas Useage'!$A$4:$A$15&amp;'Gas Useage'!$B$4:$B$15,_xlfn.XLOOKUP(E$14,'Gas Useage'!$AA$3:$AB$3,'Gas Useage'!$AA$4:$AB$15))</f>
        <v>2.6408360202747061E-3</v>
      </c>
      <c r="F49" s="496" cm="1">
        <f t="array" aca="1" ref="F49" ca="1">_xlfn.XLOOKUP(F$13,INDIRECT("'"&amp;$B49&amp;" EI'!$B$6:$B$53"),_xlfn.XLOOKUP($C$10,INDIRECT("'"&amp;$B49&amp;" EI'!$D$4:$Z$4"),INDIRECT("'"&amp;$B49&amp;" EI'!$D$6:$Z$53")))*_xlfn.XLOOKUP($B49&amp;F$15,'Gas Useage'!$A$4:$A$15&amp;'Gas Useage'!$B$4:$B$15,_xlfn.XLOOKUP($C49&amp;F$14,'Gas Useage'!$C$2:$AB$2&amp;'Gas Useage'!$C$3:$AB$3,'Gas Useage'!$C$4:$AB$15))/_xlfn.XLOOKUP($B49&amp;F$15,'Gas Useage'!$A$4:$A$15&amp;'Gas Useage'!$B$4:$B$15,_xlfn.XLOOKUP(F$14,'Gas Useage'!$AA$3:$AB$3,'Gas Useage'!$AA$4:$AB$15))</f>
        <v>7.5909520994319477E-3</v>
      </c>
      <c r="G49" s="496" cm="1">
        <f t="array" aca="1" ref="G49" ca="1">_xlfn.XLOOKUP(G$13,INDIRECT("'"&amp;$B49&amp;" EI'!$B$6:$B$53"),_xlfn.XLOOKUP($C$10,INDIRECT("'"&amp;$B49&amp;" EI'!$D$4:$Z$4"),INDIRECT("'"&amp;$B49&amp;" EI'!$D$6:$Z$53")))*_xlfn.XLOOKUP($B49&amp;G$15,'Gas Useage'!$A$4:$A$15&amp;'Gas Useage'!$B$4:$B$15,_xlfn.XLOOKUP($C49&amp;G$14,'Gas Useage'!$C$2:$AB$2&amp;'Gas Useage'!$C$3:$AB$3,'Gas Useage'!$C$4:$AB$15))/_xlfn.XLOOKUP($B49&amp;G$15,'Gas Useage'!$A$4:$A$15&amp;'Gas Useage'!$B$4:$B$15,_xlfn.XLOOKUP(G$14,'Gas Useage'!$AA$3:$AB$3,'Gas Useage'!$AA$4:$AB$15))</f>
        <v>1.9943369685273787E-3</v>
      </c>
      <c r="H49" s="497">
        <f t="shared" ref="H49:K49" ca="1" si="1">IFERROR(SUM(D26:D49)/2,"--")</f>
        <v>0.29838583852836675</v>
      </c>
      <c r="I49" s="497">
        <f t="shared" ca="1" si="1"/>
        <v>3.9385887902987173E-2</v>
      </c>
      <c r="J49" s="497">
        <f t="shared" ca="1" si="1"/>
        <v>0.29246989288564001</v>
      </c>
      <c r="K49" s="498">
        <f t="shared" ca="1" si="1"/>
        <v>3.7209422329309953E-2</v>
      </c>
      <c r="N49" s="258"/>
      <c r="O49" s="18"/>
      <c r="P49" s="18"/>
      <c r="Q49" s="18"/>
      <c r="R49" s="18"/>
      <c r="S49" s="18"/>
      <c r="T49" s="18"/>
      <c r="U49" s="18"/>
      <c r="V49" s="18"/>
    </row>
    <row r="50" spans="2:22" ht="13.5" hidden="1" x14ac:dyDescent="0.25">
      <c r="B50" s="283">
        <v>2022</v>
      </c>
      <c r="C50" s="284" t="s">
        <v>288</v>
      </c>
      <c r="D50" s="290" cm="1">
        <f t="array" aca="1" ref="D50" ca="1">_xlfn.XLOOKUP(D$13,INDIRECT("'"&amp;$B50&amp;" EI'!$B$6:$B$53"),_xlfn.XLOOKUP($C$10,INDIRECT("'"&amp;$B50&amp;" EI'!$D$4:$Z$4"),INDIRECT("'"&amp;$B50&amp;" EI'!$D$6:$Z$53")))*_xlfn.XLOOKUP($B50&amp;D$15,'Gas Useage'!$A$4:$A$15&amp;'Gas Useage'!$B$4:$B$15,_xlfn.XLOOKUP($C50&amp;D$14,'Gas Useage'!$C$2:$AB$2&amp;'Gas Useage'!$C$3:$AB$3,'Gas Useage'!$C$4:$AB$15))/_xlfn.XLOOKUP($B50&amp;D$15,'Gas Useage'!$A$4:$A$15&amp;'Gas Useage'!$B$4:$B$15,_xlfn.XLOOKUP(D$14,'Gas Useage'!$AA$3:$AB$3,'Gas Useage'!$AA$4:$AB$15))</f>
        <v>1.5301468123768805E-5</v>
      </c>
      <c r="E50" s="290" cm="1">
        <f t="array" aca="1" ref="E50" ca="1">_xlfn.XLOOKUP(E$13,INDIRECT("'"&amp;$B50&amp;" EI'!$B$6:$B$53"),_xlfn.XLOOKUP($C$10,INDIRECT("'"&amp;$B50&amp;" EI'!$D$4:$Z$4"),INDIRECT("'"&amp;$B50&amp;" EI'!$D$6:$Z$53")))*_xlfn.XLOOKUP($B50&amp;E$15,'Gas Useage'!$A$4:$A$15&amp;'Gas Useage'!$B$4:$B$15,_xlfn.XLOOKUP($C50&amp;E$14,'Gas Useage'!$C$2:$AB$2&amp;'Gas Useage'!$C$3:$AB$3,'Gas Useage'!$C$4:$AB$15))/_xlfn.XLOOKUP($B50&amp;E$15,'Gas Useage'!$A$4:$A$15&amp;'Gas Useage'!$B$4:$B$15,_xlfn.XLOOKUP(E$14,'Gas Useage'!$AA$3:$AB$3,'Gas Useage'!$AA$4:$AB$15))</f>
        <v>2.7991464167299254E-6</v>
      </c>
      <c r="F50" s="290" cm="1">
        <f t="array" aca="1" ref="F50" ca="1">_xlfn.XLOOKUP(F$13,INDIRECT("'"&amp;$B50&amp;" EI'!$B$6:$B$53"),_xlfn.XLOOKUP($C$10,INDIRECT("'"&amp;$B50&amp;" EI'!$D$4:$Z$4"),INDIRECT("'"&amp;$B50&amp;" EI'!$D$6:$Z$53")))*_xlfn.XLOOKUP($B50&amp;F$15,'Gas Useage'!$A$4:$A$15&amp;'Gas Useage'!$B$4:$B$15,_xlfn.XLOOKUP($C50&amp;F$14,'Gas Useage'!$C$2:$AB$2&amp;'Gas Useage'!$C$3:$AB$3,'Gas Useage'!$C$4:$AB$15))/_xlfn.XLOOKUP($B50&amp;F$15,'Gas Useage'!$A$4:$A$15&amp;'Gas Useage'!$B$4:$B$15,_xlfn.XLOOKUP(F$14,'Gas Useage'!$AA$3:$AB$3,'Gas Useage'!$AA$4:$AB$15))</f>
        <v>1.2877069824671265E-5</v>
      </c>
      <c r="G50" s="290" cm="1">
        <f t="array" aca="1" ref="G50" ca="1">_xlfn.XLOOKUP(G$13,INDIRECT("'"&amp;$B50&amp;" EI'!$B$6:$B$53"),_xlfn.XLOOKUP($C$10,INDIRECT("'"&amp;$B50&amp;" EI'!$D$4:$Z$4"),INDIRECT("'"&amp;$B50&amp;" EI'!$D$6:$Z$53")))*_xlfn.XLOOKUP($B50&amp;G$15,'Gas Useage'!$A$4:$A$15&amp;'Gas Useage'!$B$4:$B$15,_xlfn.XLOOKUP($C50&amp;G$14,'Gas Useage'!$C$2:$AB$2&amp;'Gas Useage'!$C$3:$AB$3,'Gas Useage'!$C$4:$AB$15))/_xlfn.XLOOKUP($B50&amp;G$15,'Gas Useage'!$A$4:$A$15&amp;'Gas Useage'!$B$4:$B$15,_xlfn.XLOOKUP(G$14,'Gas Useage'!$AA$3:$AB$3,'Gas Useage'!$AA$4:$AB$15))</f>
        <v>2.3556434955230728E-6</v>
      </c>
      <c r="H50" s="291">
        <f t="shared" ref="H50:K50" ca="1" si="2">IFERROR(SUM(D27:D50)/2,"--")</f>
        <v>0.28492792394498523</v>
      </c>
      <c r="I50" s="291">
        <f t="shared" ca="1" si="2"/>
        <v>3.6928181003319398E-2</v>
      </c>
      <c r="J50" s="291">
        <f t="shared" ca="1" si="2"/>
        <v>0.27209338847390507</v>
      </c>
      <c r="K50" s="292">
        <f t="shared" ca="1" si="2"/>
        <v>3.3488229366413824E-2</v>
      </c>
      <c r="N50" s="258"/>
      <c r="O50" s="18"/>
      <c r="P50" s="18"/>
      <c r="Q50" s="18"/>
      <c r="R50" s="18"/>
      <c r="S50" s="18"/>
      <c r="T50" s="18"/>
      <c r="U50" s="18"/>
      <c r="V50" s="18"/>
    </row>
    <row r="51" spans="2:22" ht="14.25" hidden="1" thickBot="1" x14ac:dyDescent="0.3">
      <c r="B51" s="285">
        <v>2022</v>
      </c>
      <c r="C51" s="286" t="s">
        <v>289</v>
      </c>
      <c r="D51" s="287" cm="1">
        <f t="array" aca="1" ref="D51" ca="1">_xlfn.XLOOKUP(D$13,INDIRECT("'"&amp;$B51&amp;" EI'!$B$6:$B$53"),_xlfn.XLOOKUP($C$10,INDIRECT("'"&amp;$B51&amp;" EI'!$D$4:$Z$4"),INDIRECT("'"&amp;$B51&amp;" EI'!$D$6:$Z$53")))*_xlfn.XLOOKUP($B51&amp;D$15,'Gas Useage'!$A$4:$A$15&amp;'Gas Useage'!$B$4:$B$15,_xlfn.XLOOKUP($C51&amp;D$14,'Gas Useage'!$C$2:$AB$2&amp;'Gas Useage'!$C$3:$AB$3,'Gas Useage'!$C$4:$AB$15))/_xlfn.XLOOKUP($B51&amp;D$15,'Gas Useage'!$A$4:$A$15&amp;'Gas Useage'!$B$4:$B$15,_xlfn.XLOOKUP(D$14,'Gas Useage'!$AA$3:$AB$3,'Gas Useage'!$AA$4:$AB$15))</f>
        <v>5.1245693474389476E-6</v>
      </c>
      <c r="E51" s="287" cm="1">
        <f t="array" aca="1" ref="E51" ca="1">_xlfn.XLOOKUP(E$13,INDIRECT("'"&amp;$B51&amp;" EI'!$B$6:$B$53"),_xlfn.XLOOKUP($C$10,INDIRECT("'"&amp;$B51&amp;" EI'!$D$4:$Z$4"),INDIRECT("'"&amp;$B51&amp;" EI'!$D$6:$Z$53")))*_xlfn.XLOOKUP($B51&amp;E$15,'Gas Useage'!$A$4:$A$15&amp;'Gas Useage'!$B$4:$B$15,_xlfn.XLOOKUP($C51&amp;E$14,'Gas Useage'!$C$2:$AB$2&amp;'Gas Useage'!$C$3:$AB$3,'Gas Useage'!$C$4:$AB$15))/_xlfn.XLOOKUP($B51&amp;E$15,'Gas Useage'!$A$4:$A$15&amp;'Gas Useage'!$B$4:$B$15,_xlfn.XLOOKUP(E$14,'Gas Useage'!$AA$3:$AB$3,'Gas Useage'!$AA$4:$AB$15))</f>
        <v>1.0222056761039121E-6</v>
      </c>
      <c r="F51" s="287" cm="1">
        <f t="array" aca="1" ref="F51" ca="1">_xlfn.XLOOKUP(F$13,INDIRECT("'"&amp;$B51&amp;" EI'!$B$6:$B$53"),_xlfn.XLOOKUP($C$10,INDIRECT("'"&amp;$B51&amp;" EI'!$D$4:$Z$4"),INDIRECT("'"&amp;$B51&amp;" EI'!$D$6:$Z$53")))*_xlfn.XLOOKUP($B51&amp;F$15,'Gas Useage'!$A$4:$A$15&amp;'Gas Useage'!$B$4:$B$15,_xlfn.XLOOKUP($C51&amp;F$14,'Gas Useage'!$C$2:$AB$2&amp;'Gas Useage'!$C$3:$AB$3,'Gas Useage'!$C$4:$AB$15))/_xlfn.XLOOKUP($B51&amp;F$15,'Gas Useage'!$A$4:$A$15&amp;'Gas Useage'!$B$4:$B$15,_xlfn.XLOOKUP(F$14,'Gas Useage'!$AA$3:$AB$3,'Gas Useage'!$AA$4:$AB$15))</f>
        <v>3.7089626478730238E-6</v>
      </c>
      <c r="G51" s="287" cm="1">
        <f t="array" aca="1" ref="G51" ca="1">_xlfn.XLOOKUP(G$13,INDIRECT("'"&amp;$B51&amp;" EI'!$B$6:$B$53"),_xlfn.XLOOKUP($C$10,INDIRECT("'"&amp;$B51&amp;" EI'!$D$4:$Z$4"),INDIRECT("'"&amp;$B51&amp;" EI'!$D$6:$Z$53")))*_xlfn.XLOOKUP($B51&amp;G$15,'Gas Useage'!$A$4:$A$15&amp;'Gas Useage'!$B$4:$B$15,_xlfn.XLOOKUP($C51&amp;G$14,'Gas Useage'!$C$2:$AB$2&amp;'Gas Useage'!$C$3:$AB$3,'Gas Useage'!$C$4:$AB$15))/_xlfn.XLOOKUP($B51&amp;G$15,'Gas Useage'!$A$4:$A$15&amp;'Gas Useage'!$B$4:$B$15,_xlfn.XLOOKUP(G$14,'Gas Useage'!$AA$3:$AB$3,'Gas Useage'!$AA$4:$AB$15))</f>
        <v>7.3983244523912021E-7</v>
      </c>
      <c r="H51" s="288">
        <f t="shared" ref="H51:K51" ca="1" si="3">IFERROR(SUM(D28:D51)/2,"--")</f>
        <v>0.27146492091221552</v>
      </c>
      <c r="I51" s="288">
        <f t="shared" ca="1" si="3"/>
        <v>3.4469585633281306E-2</v>
      </c>
      <c r="J51" s="288">
        <f t="shared" ca="1" si="3"/>
        <v>0.25171230000858164</v>
      </c>
      <c r="K51" s="289">
        <f t="shared" ca="1" si="3"/>
        <v>2.9766228497992545E-2</v>
      </c>
      <c r="N51" s="258"/>
      <c r="O51" s="18"/>
      <c r="P51" s="18"/>
      <c r="Q51" s="18"/>
      <c r="R51" s="18"/>
      <c r="S51" s="18"/>
      <c r="T51" s="18"/>
      <c r="U51" s="18"/>
      <c r="V51" s="18"/>
    </row>
    <row r="52" spans="2:22" x14ac:dyDescent="0.2">
      <c r="O52" s="18"/>
      <c r="P52" s="18"/>
      <c r="Q52" s="18"/>
      <c r="R52" s="18"/>
      <c r="S52" s="18"/>
      <c r="T52" s="18"/>
      <c r="U52" s="18"/>
      <c r="V52" s="18"/>
    </row>
    <row r="53" spans="2:22" x14ac:dyDescent="0.2">
      <c r="B53" s="265"/>
      <c r="C53" s="265"/>
    </row>
    <row r="54" spans="2:22" x14ac:dyDescent="0.2">
      <c r="B54" s="266"/>
      <c r="C54" s="266"/>
      <c r="D54" s="267"/>
      <c r="E54" s="267"/>
      <c r="F54" s="267"/>
      <c r="G54" s="267"/>
    </row>
    <row r="55" spans="2:22" x14ac:dyDescent="0.2">
      <c r="B55" s="266"/>
      <c r="C55" s="266"/>
      <c r="D55" s="267"/>
      <c r="E55" s="267"/>
      <c r="F55" s="267"/>
      <c r="G55" s="267"/>
    </row>
    <row r="56" spans="2:22" x14ac:dyDescent="0.2">
      <c r="B56" s="266"/>
      <c r="C56" s="266"/>
      <c r="D56" s="267"/>
      <c r="E56" s="267"/>
      <c r="F56" s="267"/>
      <c r="G56" s="267"/>
    </row>
    <row r="57" spans="2:22" x14ac:dyDescent="0.2">
      <c r="B57" s="266"/>
      <c r="C57" s="266"/>
      <c r="D57" s="267"/>
      <c r="E57" s="267"/>
      <c r="F57" s="267"/>
      <c r="G57" s="267"/>
    </row>
    <row r="58" spans="2:22" x14ac:dyDescent="0.2">
      <c r="B58" s="266"/>
      <c r="C58" s="266"/>
      <c r="D58" s="267"/>
      <c r="E58" s="267"/>
      <c r="F58" s="267"/>
      <c r="G58" s="267"/>
      <c r="H58" s="267"/>
      <c r="I58" s="267"/>
      <c r="J58" s="267"/>
      <c r="K58" s="267"/>
    </row>
    <row r="61" spans="2:22" x14ac:dyDescent="0.2">
      <c r="B61" s="265"/>
      <c r="C61" s="265"/>
      <c r="D61" s="268"/>
    </row>
    <row r="62" spans="2:22" x14ac:dyDescent="0.2">
      <c r="B62" s="266"/>
      <c r="C62" s="266"/>
    </row>
    <row r="63" spans="2:22" x14ac:dyDescent="0.2">
      <c r="B63" s="266"/>
      <c r="C63" s="266"/>
    </row>
    <row r="64" spans="2:22" x14ac:dyDescent="0.2">
      <c r="B64" s="266"/>
      <c r="C64" s="266"/>
    </row>
    <row r="65" spans="2:3" x14ac:dyDescent="0.2">
      <c r="B65" s="266"/>
      <c r="C65" s="266"/>
    </row>
    <row r="66" spans="2:3" x14ac:dyDescent="0.2">
      <c r="B66" s="266"/>
      <c r="C66" s="266"/>
    </row>
    <row r="68" spans="2:3" x14ac:dyDescent="0.2">
      <c r="B68" s="266"/>
      <c r="C68" s="266"/>
    </row>
    <row r="70" spans="2:3" x14ac:dyDescent="0.2">
      <c r="B70" s="265"/>
      <c r="C70" s="265"/>
    </row>
  </sheetData>
  <mergeCells count="2">
    <mergeCell ref="D12:G12"/>
    <mergeCell ref="H12:K12"/>
  </mergeCells>
  <pageMargins left="0.7" right="0.7" top="0.75" bottom="0.75" header="0.3" footer="0.3"/>
  <pageSetup scale="6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B559C-82E4-4B43-9C16-2BC4409B0AB9}">
  <sheetPr>
    <tabColor theme="1"/>
  </sheetPr>
  <dimension ref="B1:V70"/>
  <sheetViews>
    <sheetView view="pageBreakPreview" zoomScale="60" zoomScaleNormal="100" workbookViewId="0">
      <selection activeCell="J40" sqref="J40:J41"/>
    </sheetView>
  </sheetViews>
  <sheetFormatPr defaultColWidth="9.140625" defaultRowHeight="12.75" x14ac:dyDescent="0.2"/>
  <cols>
    <col min="1" max="1" width="4.28515625" style="252" customWidth="1"/>
    <col min="2" max="2" width="12" style="252" customWidth="1"/>
    <col min="3" max="3" width="18.85546875" style="252" customWidth="1"/>
    <col min="4" max="7" width="8.85546875" style="252" bestFit="1" customWidth="1"/>
    <col min="8" max="13" width="9.140625" style="252"/>
    <col min="14" max="14" width="11.140625" style="252" bestFit="1" customWidth="1"/>
    <col min="15" max="15" width="17.28515625" style="252" customWidth="1"/>
    <col min="16" max="16" width="15.42578125" style="252" customWidth="1"/>
    <col min="17" max="16384" width="9.140625" style="252"/>
  </cols>
  <sheetData>
    <row r="1" spans="2:22" s="18" customFormat="1" x14ac:dyDescent="0.2">
      <c r="B1" s="28"/>
      <c r="C1" s="28"/>
      <c r="F1" s="19"/>
      <c r="G1" s="19"/>
    </row>
    <row r="2" spans="2:22" s="18" customFormat="1" x14ac:dyDescent="0.2">
      <c r="B2" s="28"/>
      <c r="C2" s="28"/>
      <c r="F2" s="19"/>
      <c r="G2" s="19"/>
    </row>
    <row r="3" spans="2:22" x14ac:dyDescent="0.2">
      <c r="B3" s="20"/>
      <c r="C3" s="20"/>
    </row>
    <row r="4" spans="2:22" x14ac:dyDescent="0.2">
      <c r="B4" s="24" t="s">
        <v>0</v>
      </c>
      <c r="C4" s="25" t="s">
        <v>261</v>
      </c>
    </row>
    <row r="5" spans="2:22" x14ac:dyDescent="0.2">
      <c r="B5" s="24" t="s">
        <v>79</v>
      </c>
      <c r="C5" s="25" t="s">
        <v>4</v>
      </c>
    </row>
    <row r="6" spans="2:22" x14ac:dyDescent="0.2">
      <c r="B6" s="24" t="s">
        <v>80</v>
      </c>
      <c r="C6" s="25" t="s">
        <v>262</v>
      </c>
    </row>
    <row r="7" spans="2:22" x14ac:dyDescent="0.2">
      <c r="B7" s="20"/>
      <c r="C7" s="20"/>
    </row>
    <row r="8" spans="2:22" x14ac:dyDescent="0.2">
      <c r="B8" s="26"/>
      <c r="C8" s="26"/>
    </row>
    <row r="9" spans="2:22" x14ac:dyDescent="0.2">
      <c r="B9" s="26"/>
      <c r="C9" s="26"/>
    </row>
    <row r="10" spans="2:22" x14ac:dyDescent="0.2">
      <c r="B10" s="27" t="s">
        <v>263</v>
      </c>
      <c r="C10" s="35" t="s">
        <v>47</v>
      </c>
    </row>
    <row r="11" spans="2:22" s="253" customFormat="1" ht="15" customHeight="1" thickBot="1" x14ac:dyDescent="0.25">
      <c r="O11" s="252"/>
      <c r="P11" s="252"/>
      <c r="Q11" s="252"/>
      <c r="R11" s="252"/>
      <c r="S11" s="252"/>
      <c r="T11" s="252"/>
      <c r="U11" s="252"/>
      <c r="V11" s="252"/>
    </row>
    <row r="12" spans="2:22" ht="16.5" customHeight="1" thickBot="1" x14ac:dyDescent="0.25">
      <c r="B12" s="30"/>
      <c r="C12" s="30"/>
      <c r="D12" s="552" t="s">
        <v>265</v>
      </c>
      <c r="E12" s="553"/>
      <c r="F12" s="553"/>
      <c r="G12" s="554"/>
      <c r="H12" s="552" t="s">
        <v>266</v>
      </c>
      <c r="I12" s="553"/>
      <c r="J12" s="553"/>
      <c r="K12" s="554"/>
      <c r="L12" s="254"/>
    </row>
    <row r="13" spans="2:22" ht="27.75" thickBot="1" x14ac:dyDescent="0.25">
      <c r="B13" s="29" t="s">
        <v>267</v>
      </c>
      <c r="C13" s="29" t="s">
        <v>268</v>
      </c>
      <c r="D13" s="531" t="s">
        <v>269</v>
      </c>
      <c r="E13" s="532" t="s">
        <v>270</v>
      </c>
      <c r="F13" s="532" t="s">
        <v>271</v>
      </c>
      <c r="G13" s="533" t="s">
        <v>272</v>
      </c>
      <c r="H13" s="531" t="s">
        <v>269</v>
      </c>
      <c r="I13" s="532" t="s">
        <v>270</v>
      </c>
      <c r="J13" s="532" t="s">
        <v>271</v>
      </c>
      <c r="K13" s="533" t="s">
        <v>272</v>
      </c>
    </row>
    <row r="14" spans="2:22" ht="27.75" thickBot="1" x14ac:dyDescent="0.25">
      <c r="B14" s="199"/>
      <c r="C14" s="199"/>
      <c r="D14" s="531" t="s">
        <v>273</v>
      </c>
      <c r="E14" s="532" t="s">
        <v>274</v>
      </c>
      <c r="F14" s="532" t="s">
        <v>273</v>
      </c>
      <c r="G14" s="533" t="s">
        <v>274</v>
      </c>
      <c r="H14" s="531"/>
      <c r="I14" s="532"/>
      <c r="J14" s="532"/>
      <c r="K14" s="533"/>
    </row>
    <row r="15" spans="2:22" ht="14.25" thickBot="1" x14ac:dyDescent="0.25">
      <c r="B15" s="199"/>
      <c r="C15" s="199"/>
      <c r="D15" s="534" t="s">
        <v>275</v>
      </c>
      <c r="E15" s="535" t="s">
        <v>275</v>
      </c>
      <c r="F15" s="535" t="s">
        <v>276</v>
      </c>
      <c r="G15" s="536" t="s">
        <v>276</v>
      </c>
      <c r="H15" s="534"/>
      <c r="I15" s="535"/>
      <c r="J15" s="535"/>
      <c r="K15" s="536"/>
    </row>
    <row r="16" spans="2:22" ht="13.5" hidden="1" x14ac:dyDescent="0.25">
      <c r="B16" s="31">
        <v>2020</v>
      </c>
      <c r="C16" s="197" t="s">
        <v>277</v>
      </c>
      <c r="D16" s="255" cm="1">
        <f t="array" aca="1" ref="D16" ca="1">_xlfn.XLOOKUP(D$13,INDIRECT("'"&amp;$B16&amp;" EI'!$B$6:$B$53"),_xlfn.XLOOKUP($C$10,INDIRECT("'"&amp;$B16&amp;" EI'!$D$4:$Z$4"),INDIRECT("'"&amp;$B16&amp;" EI'!$D$6:$Z$53")))*_xlfn.XLOOKUP($B16&amp;D$15,'Gas Useage'!$A$4:$A$15&amp;'Gas Useage'!$B$4:$B$15,_xlfn.XLOOKUP($C16&amp;D$14,'Gas Useage'!$C$2:$AB$2&amp;'Gas Useage'!$C$3:$AB$3,'Gas Useage'!$C$4:$AB$15))/_xlfn.XLOOKUP($B16&amp;D$15,'Gas Useage'!$A$4:$A$15&amp;'Gas Useage'!$B$4:$B$15,_xlfn.XLOOKUP(D$14,'Gas Useage'!$AA$3:$AB$3,'Gas Useage'!$AA$4:$AB$15))</f>
        <v>0.57936475972127444</v>
      </c>
      <c r="E16" s="255" cm="1">
        <f t="array" aca="1" ref="E16" ca="1">_xlfn.XLOOKUP(E$13,INDIRECT("'"&amp;$B16&amp;" EI'!$B$6:$B$53"),_xlfn.XLOOKUP($C$10,INDIRECT("'"&amp;$B16&amp;" EI'!$D$4:$Z$4"),INDIRECT("'"&amp;$B16&amp;" EI'!$D$6:$Z$53")))*_xlfn.XLOOKUP($B16&amp;E$15,'Gas Useage'!$A$4:$A$15&amp;'Gas Useage'!$B$4:$B$15,_xlfn.XLOOKUP($C16&amp;E$14,'Gas Useage'!$C$2:$AB$2&amp;'Gas Useage'!$C$3:$AB$3,'Gas Useage'!$C$4:$AB$15))/_xlfn.XLOOKUP($B16&amp;E$15,'Gas Useage'!$A$4:$A$15&amp;'Gas Useage'!$B$4:$B$15,_xlfn.XLOOKUP(E$14,'Gas Useage'!$AA$3:$AB$3,'Gas Useage'!$AA$4:$AB$15))</f>
        <v>5.1818764542589026E-2</v>
      </c>
      <c r="F16" s="255" cm="1">
        <f t="array" aca="1" ref="F16" ca="1">_xlfn.XLOOKUP(F$13,INDIRECT("'"&amp;$B16&amp;" EI'!$B$6:$B$53"),_xlfn.XLOOKUP($C$10,INDIRECT("'"&amp;$B16&amp;" EI'!$D$4:$Z$4"),INDIRECT("'"&amp;$B16&amp;" EI'!$D$6:$Z$53")))*_xlfn.XLOOKUP($B16&amp;F$15,'Gas Useage'!$A$4:$A$15&amp;'Gas Useage'!$B$4:$B$15,_xlfn.XLOOKUP($C16&amp;F$14,'Gas Useage'!$C$2:$AB$2&amp;'Gas Useage'!$C$3:$AB$3,'Gas Useage'!$C$4:$AB$15))/_xlfn.XLOOKUP($B16&amp;F$15,'Gas Useage'!$A$4:$A$15&amp;'Gas Useage'!$B$4:$B$15,_xlfn.XLOOKUP(F$14,'Gas Useage'!$AA$3:$AB$3,'Gas Useage'!$AA$4:$AB$15))</f>
        <v>0.75847339666346547</v>
      </c>
      <c r="G16" s="255" cm="1">
        <f t="array" aca="1" ref="G16" ca="1">_xlfn.XLOOKUP(G$13,INDIRECT("'"&amp;$B16&amp;" EI'!$B$6:$B$53"),_xlfn.XLOOKUP($C$10,INDIRECT("'"&amp;$B16&amp;" EI'!$D$4:$Z$4"),INDIRECT("'"&amp;$B16&amp;" EI'!$D$6:$Z$53")))*_xlfn.XLOOKUP($B16&amp;G$15,'Gas Useage'!$A$4:$A$15&amp;'Gas Useage'!$B$4:$B$15,_xlfn.XLOOKUP($C16&amp;G$14,'Gas Useage'!$C$2:$AB$2&amp;'Gas Useage'!$C$3:$AB$3,'Gas Useage'!$C$4:$AB$15))/_xlfn.XLOOKUP($B16&amp;G$15,'Gas Useage'!$A$4:$A$15&amp;'Gas Useage'!$B$4:$B$15,_xlfn.XLOOKUP(G$14,'Gas Useage'!$AA$3:$AB$3,'Gas Useage'!$AA$4:$AB$15))</f>
        <v>6.7838358640297969E-2</v>
      </c>
      <c r="H16" s="256" t="s">
        <v>278</v>
      </c>
      <c r="I16" s="256" t="s">
        <v>278</v>
      </c>
      <c r="J16" s="256" t="s">
        <v>278</v>
      </c>
      <c r="K16" s="257" t="s">
        <v>278</v>
      </c>
      <c r="N16" s="258"/>
    </row>
    <row r="17" spans="2:14" ht="13.5" hidden="1" x14ac:dyDescent="0.25">
      <c r="B17" s="32">
        <v>2020</v>
      </c>
      <c r="C17" s="198" t="s">
        <v>279</v>
      </c>
      <c r="D17" s="259" cm="1">
        <f t="array" aca="1" ref="D17" ca="1">_xlfn.XLOOKUP(D$13,INDIRECT("'"&amp;$B17&amp;" EI'!$B$6:$B$53"),_xlfn.XLOOKUP($C$10,INDIRECT("'"&amp;$B17&amp;" EI'!$D$4:$Z$4"),INDIRECT("'"&amp;$B17&amp;" EI'!$D$6:$Z$53")))*_xlfn.XLOOKUP($B17&amp;D$15,'Gas Useage'!$A$4:$A$15&amp;'Gas Useage'!$B$4:$B$15,_xlfn.XLOOKUP($C17&amp;D$14,'Gas Useage'!$C$2:$AB$2&amp;'Gas Useage'!$C$3:$AB$3,'Gas Useage'!$C$4:$AB$15))/_xlfn.XLOOKUP($B17&amp;D$15,'Gas Useage'!$A$4:$A$15&amp;'Gas Useage'!$B$4:$B$15,_xlfn.XLOOKUP(D$14,'Gas Useage'!$AA$3:$AB$3,'Gas Useage'!$AA$4:$AB$15))</f>
        <v>0.96046455535658659</v>
      </c>
      <c r="E17" s="259" cm="1">
        <f t="array" aca="1" ref="E17" ca="1">_xlfn.XLOOKUP(E$13,INDIRECT("'"&amp;$B17&amp;" EI'!$B$6:$B$53"),_xlfn.XLOOKUP($C$10,INDIRECT("'"&amp;$B17&amp;" EI'!$D$4:$Z$4"),INDIRECT("'"&amp;$B17&amp;" EI'!$D$6:$Z$53")))*_xlfn.XLOOKUP($B17&amp;E$15,'Gas Useage'!$A$4:$A$15&amp;'Gas Useage'!$B$4:$B$15,_xlfn.XLOOKUP($C17&amp;E$14,'Gas Useage'!$C$2:$AB$2&amp;'Gas Useage'!$C$3:$AB$3,'Gas Useage'!$C$4:$AB$15))/_xlfn.XLOOKUP($B17&amp;E$15,'Gas Useage'!$A$4:$A$15&amp;'Gas Useage'!$B$4:$B$15,_xlfn.XLOOKUP(E$14,'Gas Useage'!$AA$3:$AB$3,'Gas Useage'!$AA$4:$AB$15))</f>
        <v>0.10753464962731592</v>
      </c>
      <c r="F17" s="259" cm="1">
        <f t="array" aca="1" ref="F17" ca="1">_xlfn.XLOOKUP(F$13,INDIRECT("'"&amp;$B17&amp;" EI'!$B$6:$B$53"),_xlfn.XLOOKUP($C$10,INDIRECT("'"&amp;$B17&amp;" EI'!$D$4:$Z$4"),INDIRECT("'"&amp;$B17&amp;" EI'!$D$6:$Z$53")))*_xlfn.XLOOKUP($B17&amp;F$15,'Gas Useage'!$A$4:$A$15&amp;'Gas Useage'!$B$4:$B$15,_xlfn.XLOOKUP($C17&amp;F$14,'Gas Useage'!$C$2:$AB$2&amp;'Gas Useage'!$C$3:$AB$3,'Gas Useage'!$C$4:$AB$15))/_xlfn.XLOOKUP($B17&amp;F$15,'Gas Useage'!$A$4:$A$15&amp;'Gas Useage'!$B$4:$B$15,_xlfn.XLOOKUP(F$14,'Gas Useage'!$AA$3:$AB$3,'Gas Useage'!$AA$4:$AB$15))</f>
        <v>0.78335356906705411</v>
      </c>
      <c r="G17" s="259" cm="1">
        <f t="array" aca="1" ref="G17" ca="1">_xlfn.XLOOKUP(G$13,INDIRECT("'"&amp;$B17&amp;" EI'!$B$6:$B$53"),_xlfn.XLOOKUP($C$10,INDIRECT("'"&amp;$B17&amp;" EI'!$D$4:$Z$4"),INDIRECT("'"&amp;$B17&amp;" EI'!$D$6:$Z$53")))*_xlfn.XLOOKUP($B17&amp;G$15,'Gas Useage'!$A$4:$A$15&amp;'Gas Useage'!$B$4:$B$15,_xlfn.XLOOKUP($C17&amp;G$14,'Gas Useage'!$C$2:$AB$2&amp;'Gas Useage'!$C$3:$AB$3,'Gas Useage'!$C$4:$AB$15))/_xlfn.XLOOKUP($B17&amp;G$15,'Gas Useage'!$A$4:$A$15&amp;'Gas Useage'!$B$4:$B$15,_xlfn.XLOOKUP(G$14,'Gas Useage'!$AA$3:$AB$3,'Gas Useage'!$AA$4:$AB$15))</f>
        <v>8.7705112191942047E-2</v>
      </c>
      <c r="H17" s="260" t="s">
        <v>278</v>
      </c>
      <c r="I17" s="260" t="s">
        <v>278</v>
      </c>
      <c r="J17" s="260" t="s">
        <v>278</v>
      </c>
      <c r="K17" s="261" t="s">
        <v>278</v>
      </c>
      <c r="N17" s="258"/>
    </row>
    <row r="18" spans="2:14" ht="13.5" hidden="1" x14ac:dyDescent="0.25">
      <c r="B18" s="32">
        <v>2020</v>
      </c>
      <c r="C18" s="198" t="s">
        <v>280</v>
      </c>
      <c r="D18" s="259" cm="1">
        <f t="array" aca="1" ref="D18" ca="1">_xlfn.XLOOKUP(D$13,INDIRECT("'"&amp;$B18&amp;" EI'!$B$6:$B$53"),_xlfn.XLOOKUP($C$10,INDIRECT("'"&amp;$B18&amp;" EI'!$D$4:$Z$4"),INDIRECT("'"&amp;$B18&amp;" EI'!$D$6:$Z$53")))*_xlfn.XLOOKUP($B18&amp;D$15,'Gas Useage'!$A$4:$A$15&amp;'Gas Useage'!$B$4:$B$15,_xlfn.XLOOKUP($C18&amp;D$14,'Gas Useage'!$C$2:$AB$2&amp;'Gas Useage'!$C$3:$AB$3,'Gas Useage'!$C$4:$AB$15))/_xlfn.XLOOKUP($B18&amp;D$15,'Gas Useage'!$A$4:$A$15&amp;'Gas Useage'!$B$4:$B$15,_xlfn.XLOOKUP(D$14,'Gas Useage'!$AA$3:$AB$3,'Gas Useage'!$AA$4:$AB$15))</f>
        <v>0.98033910078018038</v>
      </c>
      <c r="E18" s="259" cm="1">
        <f t="array" aca="1" ref="E18" ca="1">_xlfn.XLOOKUP(E$13,INDIRECT("'"&amp;$B18&amp;" EI'!$B$6:$B$53"),_xlfn.XLOOKUP($C$10,INDIRECT("'"&amp;$B18&amp;" EI'!$D$4:$Z$4"),INDIRECT("'"&amp;$B18&amp;" EI'!$D$6:$Z$53")))*_xlfn.XLOOKUP($B18&amp;E$15,'Gas Useage'!$A$4:$A$15&amp;'Gas Useage'!$B$4:$B$15,_xlfn.XLOOKUP($C18&amp;E$14,'Gas Useage'!$C$2:$AB$2&amp;'Gas Useage'!$C$3:$AB$3,'Gas Useage'!$C$4:$AB$15))/_xlfn.XLOOKUP($B18&amp;E$15,'Gas Useage'!$A$4:$A$15&amp;'Gas Useage'!$B$4:$B$15,_xlfn.XLOOKUP(E$14,'Gas Useage'!$AA$3:$AB$3,'Gas Useage'!$AA$4:$AB$15))</f>
        <v>0.11463727646595663</v>
      </c>
      <c r="F18" s="259" cm="1">
        <f t="array" aca="1" ref="F18" ca="1">_xlfn.XLOOKUP(F$13,INDIRECT("'"&amp;$B18&amp;" EI'!$B$6:$B$53"),_xlfn.XLOOKUP($C$10,INDIRECT("'"&amp;$B18&amp;" EI'!$D$4:$Z$4"),INDIRECT("'"&amp;$B18&amp;" EI'!$D$6:$Z$53")))*_xlfn.XLOOKUP($B18&amp;F$15,'Gas Useage'!$A$4:$A$15&amp;'Gas Useage'!$B$4:$B$15,_xlfn.XLOOKUP($C18&amp;F$14,'Gas Useage'!$C$2:$AB$2&amp;'Gas Useage'!$C$3:$AB$3,'Gas Useage'!$C$4:$AB$15))/_xlfn.XLOOKUP($B18&amp;F$15,'Gas Useage'!$A$4:$A$15&amp;'Gas Useage'!$B$4:$B$15,_xlfn.XLOOKUP(F$14,'Gas Useage'!$AA$3:$AB$3,'Gas Useage'!$AA$4:$AB$15))</f>
        <v>0.60937653724414798</v>
      </c>
      <c r="G18" s="259" cm="1">
        <f t="array" aca="1" ref="G18" ca="1">_xlfn.XLOOKUP(G$13,INDIRECT("'"&amp;$B18&amp;" EI'!$B$6:$B$53"),_xlfn.XLOOKUP($C$10,INDIRECT("'"&amp;$B18&amp;" EI'!$D$4:$Z$4"),INDIRECT("'"&amp;$B18&amp;" EI'!$D$6:$Z$53")))*_xlfn.XLOOKUP($B18&amp;G$15,'Gas Useage'!$A$4:$A$15&amp;'Gas Useage'!$B$4:$B$15,_xlfn.XLOOKUP($C18&amp;G$14,'Gas Useage'!$C$2:$AB$2&amp;'Gas Useage'!$C$3:$AB$3,'Gas Useage'!$C$4:$AB$15))/_xlfn.XLOOKUP($B18&amp;G$15,'Gas Useage'!$A$4:$A$15&amp;'Gas Useage'!$B$4:$B$15,_xlfn.XLOOKUP(G$14,'Gas Useage'!$AA$3:$AB$3,'Gas Useage'!$AA$4:$AB$15))</f>
        <v>7.1258268201615585E-2</v>
      </c>
      <c r="H18" s="260" t="s">
        <v>278</v>
      </c>
      <c r="I18" s="260" t="s">
        <v>278</v>
      </c>
      <c r="J18" s="260" t="s">
        <v>278</v>
      </c>
      <c r="K18" s="261" t="s">
        <v>278</v>
      </c>
      <c r="N18" s="258"/>
    </row>
    <row r="19" spans="2:14" ht="13.5" hidden="1" x14ac:dyDescent="0.25">
      <c r="B19" s="32">
        <v>2020</v>
      </c>
      <c r="C19" s="198" t="s">
        <v>281</v>
      </c>
      <c r="D19" s="259" cm="1">
        <f t="array" aca="1" ref="D19" ca="1">_xlfn.XLOOKUP(D$13,INDIRECT("'"&amp;$B19&amp;" EI'!$B$6:$B$53"),_xlfn.XLOOKUP($C$10,INDIRECT("'"&amp;$B19&amp;" EI'!$D$4:$Z$4"),INDIRECT("'"&amp;$B19&amp;" EI'!$D$6:$Z$53")))*_xlfn.XLOOKUP($B19&amp;D$15,'Gas Useage'!$A$4:$A$15&amp;'Gas Useage'!$B$4:$B$15,_xlfn.XLOOKUP($C19&amp;D$14,'Gas Useage'!$C$2:$AB$2&amp;'Gas Useage'!$C$3:$AB$3,'Gas Useage'!$C$4:$AB$15))/_xlfn.XLOOKUP($B19&amp;D$15,'Gas Useage'!$A$4:$A$15&amp;'Gas Useage'!$B$4:$B$15,_xlfn.XLOOKUP(D$14,'Gas Useage'!$AA$3:$AB$3,'Gas Useage'!$AA$4:$AB$15))</f>
        <v>0.37987986441673338</v>
      </c>
      <c r="E19" s="259" cm="1">
        <f t="array" aca="1" ref="E19" ca="1">_xlfn.XLOOKUP(E$13,INDIRECT("'"&amp;$B19&amp;" EI'!$B$6:$B$53"),_xlfn.XLOOKUP($C$10,INDIRECT("'"&amp;$B19&amp;" EI'!$D$4:$Z$4"),INDIRECT("'"&amp;$B19&amp;" EI'!$D$6:$Z$53")))*_xlfn.XLOOKUP($B19&amp;E$15,'Gas Useage'!$A$4:$A$15&amp;'Gas Useage'!$B$4:$B$15,_xlfn.XLOOKUP($C19&amp;E$14,'Gas Useage'!$C$2:$AB$2&amp;'Gas Useage'!$C$3:$AB$3,'Gas Useage'!$C$4:$AB$15))/_xlfn.XLOOKUP($B19&amp;E$15,'Gas Useage'!$A$4:$A$15&amp;'Gas Useage'!$B$4:$B$15,_xlfn.XLOOKUP(E$14,'Gas Useage'!$AA$3:$AB$3,'Gas Useage'!$AA$4:$AB$15))</f>
        <v>4.5459512689991086E-2</v>
      </c>
      <c r="F19" s="259" cm="1">
        <f t="array" aca="1" ref="F19" ca="1">_xlfn.XLOOKUP(F$13,INDIRECT("'"&amp;$B19&amp;" EI'!$B$6:$B$53"),_xlfn.XLOOKUP($C$10,INDIRECT("'"&amp;$B19&amp;" EI'!$D$4:$Z$4"),INDIRECT("'"&amp;$B19&amp;" EI'!$D$6:$Z$53")))*_xlfn.XLOOKUP($B19&amp;F$15,'Gas Useage'!$A$4:$A$15&amp;'Gas Useage'!$B$4:$B$15,_xlfn.XLOOKUP($C19&amp;F$14,'Gas Useage'!$C$2:$AB$2&amp;'Gas Useage'!$C$3:$AB$3,'Gas Useage'!$C$4:$AB$15))/_xlfn.XLOOKUP($B19&amp;F$15,'Gas Useage'!$A$4:$A$15&amp;'Gas Useage'!$B$4:$B$15,_xlfn.XLOOKUP(F$14,'Gas Useage'!$AA$3:$AB$3,'Gas Useage'!$AA$4:$AB$15))</f>
        <v>0.38114909216286319</v>
      </c>
      <c r="G19" s="259" cm="1">
        <f t="array" aca="1" ref="G19" ca="1">_xlfn.XLOOKUP(G$13,INDIRECT("'"&amp;$B19&amp;" EI'!$B$6:$B$53"),_xlfn.XLOOKUP($C$10,INDIRECT("'"&amp;$B19&amp;" EI'!$D$4:$Z$4"),INDIRECT("'"&amp;$B19&amp;" EI'!$D$6:$Z$53")))*_xlfn.XLOOKUP($B19&amp;G$15,'Gas Useage'!$A$4:$A$15&amp;'Gas Useage'!$B$4:$B$15,_xlfn.XLOOKUP($C19&amp;G$14,'Gas Useage'!$C$2:$AB$2&amp;'Gas Useage'!$C$3:$AB$3,'Gas Useage'!$C$4:$AB$15))/_xlfn.XLOOKUP($B19&amp;G$15,'Gas Useage'!$A$4:$A$15&amp;'Gas Useage'!$B$4:$B$15,_xlfn.XLOOKUP(G$14,'Gas Useage'!$AA$3:$AB$3,'Gas Useage'!$AA$4:$AB$15))</f>
        <v>4.5611398799880791E-2</v>
      </c>
      <c r="H19" s="260" t="s">
        <v>278</v>
      </c>
      <c r="I19" s="260" t="s">
        <v>278</v>
      </c>
      <c r="J19" s="260" t="s">
        <v>278</v>
      </c>
      <c r="K19" s="261" t="s">
        <v>278</v>
      </c>
      <c r="N19" s="258"/>
    </row>
    <row r="20" spans="2:14" ht="13.5" hidden="1" x14ac:dyDescent="0.25">
      <c r="B20" s="32">
        <v>2020</v>
      </c>
      <c r="C20" s="198" t="s">
        <v>282</v>
      </c>
      <c r="D20" s="259" cm="1">
        <f t="array" aca="1" ref="D20" ca="1">_xlfn.XLOOKUP(D$13,INDIRECT("'"&amp;$B20&amp;" EI'!$B$6:$B$53"),_xlfn.XLOOKUP($C$10,INDIRECT("'"&amp;$B20&amp;" EI'!$D$4:$Z$4"),INDIRECT("'"&amp;$B20&amp;" EI'!$D$6:$Z$53")))*_xlfn.XLOOKUP($B20&amp;D$15,'Gas Useage'!$A$4:$A$15&amp;'Gas Useage'!$B$4:$B$15,_xlfn.XLOOKUP($C20&amp;D$14,'Gas Useage'!$C$2:$AB$2&amp;'Gas Useage'!$C$3:$AB$3,'Gas Useage'!$C$4:$AB$15))/_xlfn.XLOOKUP($B20&amp;D$15,'Gas Useage'!$A$4:$A$15&amp;'Gas Useage'!$B$4:$B$15,_xlfn.XLOOKUP(D$14,'Gas Useage'!$AA$3:$AB$3,'Gas Useage'!$AA$4:$AB$15))</f>
        <v>2.3809940095367056E-2</v>
      </c>
      <c r="E20" s="259" cm="1">
        <f t="array" aca="1" ref="E20" ca="1">_xlfn.XLOOKUP(E$13,INDIRECT("'"&amp;$B20&amp;" EI'!$B$6:$B$53"),_xlfn.XLOOKUP($C$10,INDIRECT("'"&amp;$B20&amp;" EI'!$D$4:$Z$4"),INDIRECT("'"&amp;$B20&amp;" EI'!$D$6:$Z$53")))*_xlfn.XLOOKUP($B20&amp;E$15,'Gas Useage'!$A$4:$A$15&amp;'Gas Useage'!$B$4:$B$15,_xlfn.XLOOKUP($C20&amp;E$14,'Gas Useage'!$C$2:$AB$2&amp;'Gas Useage'!$C$3:$AB$3,'Gas Useage'!$C$4:$AB$15))/_xlfn.XLOOKUP($B20&amp;E$15,'Gas Useage'!$A$4:$A$15&amp;'Gas Useage'!$B$4:$B$15,_xlfn.XLOOKUP(E$14,'Gas Useage'!$AA$3:$AB$3,'Gas Useage'!$AA$4:$AB$15))</f>
        <v>1.66049970428265E-3</v>
      </c>
      <c r="F20" s="259" cm="1">
        <f t="array" aca="1" ref="F20" ca="1">_xlfn.XLOOKUP(F$13,INDIRECT("'"&amp;$B20&amp;" EI'!$B$6:$B$53"),_xlfn.XLOOKUP($C$10,INDIRECT("'"&amp;$B20&amp;" EI'!$D$4:$Z$4"),INDIRECT("'"&amp;$B20&amp;" EI'!$D$6:$Z$53")))*_xlfn.XLOOKUP($B20&amp;F$15,'Gas Useage'!$A$4:$A$15&amp;'Gas Useage'!$B$4:$B$15,_xlfn.XLOOKUP($C20&amp;F$14,'Gas Useage'!$C$2:$AB$2&amp;'Gas Useage'!$C$3:$AB$3,'Gas Useage'!$C$4:$AB$15))/_xlfn.XLOOKUP($B20&amp;F$15,'Gas Useage'!$A$4:$A$15&amp;'Gas Useage'!$B$4:$B$15,_xlfn.XLOOKUP(F$14,'Gas Useage'!$AA$3:$AB$3,'Gas Useage'!$AA$4:$AB$15))</f>
        <v>1.1502133947389716E-5</v>
      </c>
      <c r="G20" s="259" cm="1">
        <f t="array" aca="1" ref="G20" ca="1">_xlfn.XLOOKUP(G$13,INDIRECT("'"&amp;$B20&amp;" EI'!$B$6:$B$53"),_xlfn.XLOOKUP($C$10,INDIRECT("'"&amp;$B20&amp;" EI'!$D$4:$Z$4"),INDIRECT("'"&amp;$B20&amp;" EI'!$D$6:$Z$53")))*_xlfn.XLOOKUP($B20&amp;G$15,'Gas Useage'!$A$4:$A$15&amp;'Gas Useage'!$B$4:$B$15,_xlfn.XLOOKUP($C20&amp;G$14,'Gas Useage'!$C$2:$AB$2&amp;'Gas Useage'!$C$3:$AB$3,'Gas Useage'!$C$4:$AB$15))/_xlfn.XLOOKUP($B20&amp;G$15,'Gas Useage'!$A$4:$A$15&amp;'Gas Useage'!$B$4:$B$15,_xlfn.XLOOKUP(G$14,'Gas Useage'!$AA$3:$AB$3,'Gas Useage'!$AA$4:$AB$15))</f>
        <v>8.0215615586434864E-7</v>
      </c>
      <c r="H20" s="260" t="s">
        <v>278</v>
      </c>
      <c r="I20" s="260" t="s">
        <v>278</v>
      </c>
      <c r="J20" s="260" t="s">
        <v>278</v>
      </c>
      <c r="K20" s="261" t="s">
        <v>278</v>
      </c>
      <c r="N20" s="258"/>
    </row>
    <row r="21" spans="2:14" ht="13.5" hidden="1" x14ac:dyDescent="0.25">
      <c r="B21" s="32">
        <v>2020</v>
      </c>
      <c r="C21" s="198" t="s">
        <v>283</v>
      </c>
      <c r="D21" s="259" cm="1">
        <f t="array" aca="1" ref="D21" ca="1">_xlfn.XLOOKUP(D$13,INDIRECT("'"&amp;$B21&amp;" EI'!$B$6:$B$53"),_xlfn.XLOOKUP($C$10,INDIRECT("'"&amp;$B21&amp;" EI'!$D$4:$Z$4"),INDIRECT("'"&amp;$B21&amp;" EI'!$D$6:$Z$53")))*_xlfn.XLOOKUP($B21&amp;D$15,'Gas Useage'!$A$4:$A$15&amp;'Gas Useage'!$B$4:$B$15,_xlfn.XLOOKUP($C21&amp;D$14,'Gas Useage'!$C$2:$AB$2&amp;'Gas Useage'!$C$3:$AB$3,'Gas Useage'!$C$4:$AB$15))/_xlfn.XLOOKUP($B21&amp;D$15,'Gas Useage'!$A$4:$A$15&amp;'Gas Useage'!$B$4:$B$15,_xlfn.XLOOKUP(D$14,'Gas Useage'!$AA$3:$AB$3,'Gas Useage'!$AA$4:$AB$15))</f>
        <v>0</v>
      </c>
      <c r="E21" s="259" cm="1">
        <f t="array" aca="1" ref="E21" ca="1">_xlfn.XLOOKUP(E$13,INDIRECT("'"&amp;$B21&amp;" EI'!$B$6:$B$53"),_xlfn.XLOOKUP($C$10,INDIRECT("'"&amp;$B21&amp;" EI'!$D$4:$Z$4"),INDIRECT("'"&amp;$B21&amp;" EI'!$D$6:$Z$53")))*_xlfn.XLOOKUP($B21&amp;E$15,'Gas Useage'!$A$4:$A$15&amp;'Gas Useage'!$B$4:$B$15,_xlfn.XLOOKUP($C21&amp;E$14,'Gas Useage'!$C$2:$AB$2&amp;'Gas Useage'!$C$3:$AB$3,'Gas Useage'!$C$4:$AB$15))/_xlfn.XLOOKUP($B21&amp;E$15,'Gas Useage'!$A$4:$A$15&amp;'Gas Useage'!$B$4:$B$15,_xlfn.XLOOKUP(E$14,'Gas Useage'!$AA$3:$AB$3,'Gas Useage'!$AA$4:$AB$15))</f>
        <v>0</v>
      </c>
      <c r="F21" s="259" cm="1">
        <f t="array" aca="1" ref="F21" ca="1">_xlfn.XLOOKUP(F$13,INDIRECT("'"&amp;$B21&amp;" EI'!$B$6:$B$53"),_xlfn.XLOOKUP($C$10,INDIRECT("'"&amp;$B21&amp;" EI'!$D$4:$Z$4"),INDIRECT("'"&amp;$B21&amp;" EI'!$D$6:$Z$53")))*_xlfn.XLOOKUP($B21&amp;F$15,'Gas Useage'!$A$4:$A$15&amp;'Gas Useage'!$B$4:$B$15,_xlfn.XLOOKUP($C21&amp;F$14,'Gas Useage'!$C$2:$AB$2&amp;'Gas Useage'!$C$3:$AB$3,'Gas Useage'!$C$4:$AB$15))/_xlfn.XLOOKUP($B21&amp;F$15,'Gas Useage'!$A$4:$A$15&amp;'Gas Useage'!$B$4:$B$15,_xlfn.XLOOKUP(F$14,'Gas Useage'!$AA$3:$AB$3,'Gas Useage'!$AA$4:$AB$15))</f>
        <v>0</v>
      </c>
      <c r="G21" s="259" cm="1">
        <f t="array" aca="1" ref="G21" ca="1">_xlfn.XLOOKUP(G$13,INDIRECT("'"&amp;$B21&amp;" EI'!$B$6:$B$53"),_xlfn.XLOOKUP($C$10,INDIRECT("'"&amp;$B21&amp;" EI'!$D$4:$Z$4"),INDIRECT("'"&amp;$B21&amp;" EI'!$D$6:$Z$53")))*_xlfn.XLOOKUP($B21&amp;G$15,'Gas Useage'!$A$4:$A$15&amp;'Gas Useage'!$B$4:$B$15,_xlfn.XLOOKUP($C21&amp;G$14,'Gas Useage'!$C$2:$AB$2&amp;'Gas Useage'!$C$3:$AB$3,'Gas Useage'!$C$4:$AB$15))/_xlfn.XLOOKUP($B21&amp;G$15,'Gas Useage'!$A$4:$A$15&amp;'Gas Useage'!$B$4:$B$15,_xlfn.XLOOKUP(G$14,'Gas Useage'!$AA$3:$AB$3,'Gas Useage'!$AA$4:$AB$15))</f>
        <v>0</v>
      </c>
      <c r="H21" s="260" t="s">
        <v>278</v>
      </c>
      <c r="I21" s="260" t="s">
        <v>278</v>
      </c>
      <c r="J21" s="260" t="s">
        <v>278</v>
      </c>
      <c r="K21" s="261" t="s">
        <v>278</v>
      </c>
      <c r="N21" s="258"/>
    </row>
    <row r="22" spans="2:14" ht="13.5" hidden="1" x14ac:dyDescent="0.25">
      <c r="B22" s="32">
        <v>2020</v>
      </c>
      <c r="C22" s="198" t="s">
        <v>284</v>
      </c>
      <c r="D22" s="259" cm="1">
        <f t="array" aca="1" ref="D22" ca="1">_xlfn.XLOOKUP(D$13,INDIRECT("'"&amp;$B22&amp;" EI'!$B$6:$B$53"),_xlfn.XLOOKUP($C$10,INDIRECT("'"&amp;$B22&amp;" EI'!$D$4:$Z$4"),INDIRECT("'"&amp;$B22&amp;" EI'!$D$6:$Z$53")))*_xlfn.XLOOKUP($B22&amp;D$15,'Gas Useage'!$A$4:$A$15&amp;'Gas Useage'!$B$4:$B$15,_xlfn.XLOOKUP($C22&amp;D$14,'Gas Useage'!$C$2:$AB$2&amp;'Gas Useage'!$C$3:$AB$3,'Gas Useage'!$C$4:$AB$15))/_xlfn.XLOOKUP($B22&amp;D$15,'Gas Useage'!$A$4:$A$15&amp;'Gas Useage'!$B$4:$B$15,_xlfn.XLOOKUP(D$14,'Gas Useage'!$AA$3:$AB$3,'Gas Useage'!$AA$4:$AB$15))</f>
        <v>0.95723759537035469</v>
      </c>
      <c r="E22" s="259" cm="1">
        <f t="array" aca="1" ref="E22" ca="1">_xlfn.XLOOKUP(E$13,INDIRECT("'"&amp;$B22&amp;" EI'!$B$6:$B$53"),_xlfn.XLOOKUP($C$10,INDIRECT("'"&amp;$B22&amp;" EI'!$D$4:$Z$4"),INDIRECT("'"&amp;$B22&amp;" EI'!$D$6:$Z$53")))*_xlfn.XLOOKUP($B22&amp;E$15,'Gas Useage'!$A$4:$A$15&amp;'Gas Useage'!$B$4:$B$15,_xlfn.XLOOKUP($C22&amp;E$14,'Gas Useage'!$C$2:$AB$2&amp;'Gas Useage'!$C$3:$AB$3,'Gas Useage'!$C$4:$AB$15))/_xlfn.XLOOKUP($B22&amp;E$15,'Gas Useage'!$A$4:$A$15&amp;'Gas Useage'!$B$4:$B$15,_xlfn.XLOOKUP(E$14,'Gas Useage'!$AA$3:$AB$3,'Gas Useage'!$AA$4:$AB$15))</f>
        <v>0.1064919923277891</v>
      </c>
      <c r="F22" s="259" cm="1">
        <f t="array" aca="1" ref="F22" ca="1">_xlfn.XLOOKUP(F$13,INDIRECT("'"&amp;$B22&amp;" EI'!$B$6:$B$53"),_xlfn.XLOOKUP($C$10,INDIRECT("'"&amp;$B22&amp;" EI'!$D$4:$Z$4"),INDIRECT("'"&amp;$B22&amp;" EI'!$D$6:$Z$53")))*_xlfn.XLOOKUP($B22&amp;F$15,'Gas Useage'!$A$4:$A$15&amp;'Gas Useage'!$B$4:$B$15,_xlfn.XLOOKUP($C22&amp;F$14,'Gas Useage'!$C$2:$AB$2&amp;'Gas Useage'!$C$3:$AB$3,'Gas Useage'!$C$4:$AB$15))/_xlfn.XLOOKUP($B22&amp;F$15,'Gas Useage'!$A$4:$A$15&amp;'Gas Useage'!$B$4:$B$15,_xlfn.XLOOKUP(F$14,'Gas Useage'!$AA$3:$AB$3,'Gas Useage'!$AA$4:$AB$15))</f>
        <v>0.60167742240777766</v>
      </c>
      <c r="G22" s="259" cm="1">
        <f t="array" aca="1" ref="G22" ca="1">_xlfn.XLOOKUP(G$13,INDIRECT("'"&amp;$B22&amp;" EI'!$B$6:$B$53"),_xlfn.XLOOKUP($C$10,INDIRECT("'"&amp;$B22&amp;" EI'!$D$4:$Z$4"),INDIRECT("'"&amp;$B22&amp;" EI'!$D$6:$Z$53")))*_xlfn.XLOOKUP($B22&amp;G$15,'Gas Useage'!$A$4:$A$15&amp;'Gas Useage'!$B$4:$B$15,_xlfn.XLOOKUP($C22&amp;G$14,'Gas Useage'!$C$2:$AB$2&amp;'Gas Useage'!$C$3:$AB$3,'Gas Useage'!$C$4:$AB$15))/_xlfn.XLOOKUP($B22&amp;G$15,'Gas Useage'!$A$4:$A$15&amp;'Gas Useage'!$B$4:$B$15,_xlfn.XLOOKUP(G$14,'Gas Useage'!$AA$3:$AB$3,'Gas Useage'!$AA$4:$AB$15))</f>
        <v>6.6936179440447982E-2</v>
      </c>
      <c r="H22" s="260" t="s">
        <v>278</v>
      </c>
      <c r="I22" s="260" t="s">
        <v>278</v>
      </c>
      <c r="J22" s="260" t="s">
        <v>278</v>
      </c>
      <c r="K22" s="261" t="s">
        <v>278</v>
      </c>
      <c r="N22" s="258"/>
    </row>
    <row r="23" spans="2:14" ht="13.5" hidden="1" x14ac:dyDescent="0.25">
      <c r="B23" s="32">
        <v>2020</v>
      </c>
      <c r="C23" s="198" t="s">
        <v>285</v>
      </c>
      <c r="D23" s="259" cm="1">
        <f t="array" aca="1" ref="D23" ca="1">_xlfn.XLOOKUP(D$13,INDIRECT("'"&amp;$B23&amp;" EI'!$B$6:$B$53"),_xlfn.XLOOKUP($C$10,INDIRECT("'"&amp;$B23&amp;" EI'!$D$4:$Z$4"),INDIRECT("'"&amp;$B23&amp;" EI'!$D$6:$Z$53")))*_xlfn.XLOOKUP($B23&amp;D$15,'Gas Useage'!$A$4:$A$15&amp;'Gas Useage'!$B$4:$B$15,_xlfn.XLOOKUP($C23&amp;D$14,'Gas Useage'!$C$2:$AB$2&amp;'Gas Useage'!$C$3:$AB$3,'Gas Useage'!$C$4:$AB$15))/_xlfn.XLOOKUP($B23&amp;D$15,'Gas Useage'!$A$4:$A$15&amp;'Gas Useage'!$B$4:$B$15,_xlfn.XLOOKUP(D$14,'Gas Useage'!$AA$3:$AB$3,'Gas Useage'!$AA$4:$AB$15))</f>
        <v>0.96279393496606014</v>
      </c>
      <c r="E23" s="259" cm="1">
        <f t="array" aca="1" ref="E23" ca="1">_xlfn.XLOOKUP(E$13,INDIRECT("'"&amp;$B23&amp;" EI'!$B$6:$B$53"),_xlfn.XLOOKUP($C$10,INDIRECT("'"&amp;$B23&amp;" EI'!$D$4:$Z$4"),INDIRECT("'"&amp;$B23&amp;" EI'!$D$6:$Z$53")))*_xlfn.XLOOKUP($B23&amp;E$15,'Gas Useage'!$A$4:$A$15&amp;'Gas Useage'!$B$4:$B$15,_xlfn.XLOOKUP($C23&amp;E$14,'Gas Useage'!$C$2:$AB$2&amp;'Gas Useage'!$C$3:$AB$3,'Gas Useage'!$C$4:$AB$15))/_xlfn.XLOOKUP($B23&amp;E$15,'Gas Useage'!$A$4:$A$15&amp;'Gas Useage'!$B$4:$B$15,_xlfn.XLOOKUP(E$14,'Gas Useage'!$AA$3:$AB$3,'Gas Useage'!$AA$4:$AB$15))</f>
        <v>8.1441798553326825E-2</v>
      </c>
      <c r="F23" s="259" cm="1">
        <f t="array" aca="1" ref="F23" ca="1">_xlfn.XLOOKUP(F$13,INDIRECT("'"&amp;$B23&amp;" EI'!$B$6:$B$53"),_xlfn.XLOOKUP($C$10,INDIRECT("'"&amp;$B23&amp;" EI'!$D$4:$Z$4"),INDIRECT("'"&amp;$B23&amp;" EI'!$D$6:$Z$53")))*_xlfn.XLOOKUP($B23&amp;F$15,'Gas Useage'!$A$4:$A$15&amp;'Gas Useage'!$B$4:$B$15,_xlfn.XLOOKUP($C23&amp;F$14,'Gas Useage'!$C$2:$AB$2&amp;'Gas Useage'!$C$3:$AB$3,'Gas Useage'!$C$4:$AB$15))/_xlfn.XLOOKUP($B23&amp;F$15,'Gas Useage'!$A$4:$A$15&amp;'Gas Useage'!$B$4:$B$15,_xlfn.XLOOKUP(F$14,'Gas Useage'!$AA$3:$AB$3,'Gas Useage'!$AA$4:$AB$15))</f>
        <v>0.11154423976400407</v>
      </c>
      <c r="G23" s="259" cm="1">
        <f t="array" aca="1" ref="G23" ca="1">_xlfn.XLOOKUP(G$13,INDIRECT("'"&amp;$B23&amp;" EI'!$B$6:$B$53"),_xlfn.XLOOKUP($C$10,INDIRECT("'"&amp;$B23&amp;" EI'!$D$4:$Z$4"),INDIRECT("'"&amp;$B23&amp;" EI'!$D$6:$Z$53")))*_xlfn.XLOOKUP($B23&amp;G$15,'Gas Useage'!$A$4:$A$15&amp;'Gas Useage'!$B$4:$B$15,_xlfn.XLOOKUP($C23&amp;G$14,'Gas Useage'!$C$2:$AB$2&amp;'Gas Useage'!$C$3:$AB$3,'Gas Useage'!$C$4:$AB$15))/_xlfn.XLOOKUP($B23&amp;G$15,'Gas Useage'!$A$4:$A$15&amp;'Gas Useage'!$B$4:$B$15,_xlfn.XLOOKUP(G$14,'Gas Useage'!$AA$3:$AB$3,'Gas Useage'!$AA$4:$AB$15))</f>
        <v>9.4354182912091654E-3</v>
      </c>
      <c r="H23" s="260" t="s">
        <v>278</v>
      </c>
      <c r="I23" s="260" t="s">
        <v>278</v>
      </c>
      <c r="J23" s="260" t="s">
        <v>278</v>
      </c>
      <c r="K23" s="261" t="s">
        <v>278</v>
      </c>
      <c r="N23" s="258"/>
    </row>
    <row r="24" spans="2:14" ht="13.5" hidden="1" x14ac:dyDescent="0.25">
      <c r="B24" s="32">
        <v>2020</v>
      </c>
      <c r="C24" s="198" t="s">
        <v>286</v>
      </c>
      <c r="D24" s="259" cm="1">
        <f t="array" aca="1" ref="D24" ca="1">_xlfn.XLOOKUP(D$13,INDIRECT("'"&amp;$B24&amp;" EI'!$B$6:$B$53"),_xlfn.XLOOKUP($C$10,INDIRECT("'"&amp;$B24&amp;" EI'!$D$4:$Z$4"),INDIRECT("'"&amp;$B24&amp;" EI'!$D$6:$Z$53")))*_xlfn.XLOOKUP($B24&amp;D$15,'Gas Useage'!$A$4:$A$15&amp;'Gas Useage'!$B$4:$B$15,_xlfn.XLOOKUP($C24&amp;D$14,'Gas Useage'!$C$2:$AB$2&amp;'Gas Useage'!$C$3:$AB$3,'Gas Useage'!$C$4:$AB$15))/_xlfn.XLOOKUP($B24&amp;D$15,'Gas Useage'!$A$4:$A$15&amp;'Gas Useage'!$B$4:$B$15,_xlfn.XLOOKUP(D$14,'Gas Useage'!$AA$3:$AB$3,'Gas Useage'!$AA$4:$AB$15))</f>
        <v>0.2643085705823896</v>
      </c>
      <c r="E24" s="259" cm="1">
        <f t="array" aca="1" ref="E24" ca="1">_xlfn.XLOOKUP(E$13,INDIRECT("'"&amp;$B24&amp;" EI'!$B$6:$B$53"),_xlfn.XLOOKUP($C$10,INDIRECT("'"&amp;$B24&amp;" EI'!$D$4:$Z$4"),INDIRECT("'"&amp;$B24&amp;" EI'!$D$6:$Z$53")))*_xlfn.XLOOKUP($B24&amp;E$15,'Gas Useage'!$A$4:$A$15&amp;'Gas Useage'!$B$4:$B$15,_xlfn.XLOOKUP($C24&amp;E$14,'Gas Useage'!$C$2:$AB$2&amp;'Gas Useage'!$C$3:$AB$3,'Gas Useage'!$C$4:$AB$15))/_xlfn.XLOOKUP($B24&amp;E$15,'Gas Useage'!$A$4:$A$15&amp;'Gas Useage'!$B$4:$B$15,_xlfn.XLOOKUP(E$14,'Gas Useage'!$AA$3:$AB$3,'Gas Useage'!$AA$4:$AB$15))</f>
        <v>3.6472018459029421E-2</v>
      </c>
      <c r="F24" s="259" cm="1">
        <f t="array" aca="1" ref="F24" ca="1">_xlfn.XLOOKUP(F$13,INDIRECT("'"&amp;$B24&amp;" EI'!$B$6:$B$53"),_xlfn.XLOOKUP($C$10,INDIRECT("'"&amp;$B24&amp;" EI'!$D$4:$Z$4"),INDIRECT("'"&amp;$B24&amp;" EI'!$D$6:$Z$53")))*_xlfn.XLOOKUP($B24&amp;F$15,'Gas Useage'!$A$4:$A$15&amp;'Gas Useage'!$B$4:$B$15,_xlfn.XLOOKUP($C24&amp;F$14,'Gas Useage'!$C$2:$AB$2&amp;'Gas Useage'!$C$3:$AB$3,'Gas Useage'!$C$4:$AB$15))/_xlfn.XLOOKUP($B24&amp;F$15,'Gas Useage'!$A$4:$A$15&amp;'Gas Useage'!$B$4:$B$15,_xlfn.XLOOKUP(F$14,'Gas Useage'!$AA$3:$AB$3,'Gas Useage'!$AA$4:$AB$15))</f>
        <v>1.8094394556954013E-3</v>
      </c>
      <c r="G24" s="259" cm="1">
        <f t="array" aca="1" ref="G24" ca="1">_xlfn.XLOOKUP(G$13,INDIRECT("'"&amp;$B24&amp;" EI'!$B$6:$B$53"),_xlfn.XLOOKUP($C$10,INDIRECT("'"&amp;$B24&amp;" EI'!$D$4:$Z$4"),INDIRECT("'"&amp;$B24&amp;" EI'!$D$6:$Z$53")))*_xlfn.XLOOKUP($B24&amp;G$15,'Gas Useage'!$A$4:$A$15&amp;'Gas Useage'!$B$4:$B$15,_xlfn.XLOOKUP($C24&amp;G$14,'Gas Useage'!$C$2:$AB$2&amp;'Gas Useage'!$C$3:$AB$3,'Gas Useage'!$C$4:$AB$15))/_xlfn.XLOOKUP($B24&amp;G$15,'Gas Useage'!$A$4:$A$15&amp;'Gas Useage'!$B$4:$B$15,_xlfn.XLOOKUP(G$14,'Gas Useage'!$AA$3:$AB$3,'Gas Useage'!$AA$4:$AB$15))</f>
        <v>2.496850899810205E-4</v>
      </c>
      <c r="H24" s="260" t="s">
        <v>278</v>
      </c>
      <c r="I24" s="260" t="s">
        <v>278</v>
      </c>
      <c r="J24" s="260" t="s">
        <v>278</v>
      </c>
      <c r="K24" s="261" t="s">
        <v>278</v>
      </c>
      <c r="N24" s="258"/>
    </row>
    <row r="25" spans="2:14" ht="13.5" x14ac:dyDescent="0.25">
      <c r="B25" s="32">
        <v>2020</v>
      </c>
      <c r="C25" s="494" t="s">
        <v>287</v>
      </c>
      <c r="D25" s="259" cm="1">
        <f t="array" aca="1" ref="D25" ca="1">_xlfn.XLOOKUP(D$13,INDIRECT("'"&amp;$B25&amp;" EI'!$B$6:$B$53"),_xlfn.XLOOKUP($C$10,INDIRECT("'"&amp;$B25&amp;" EI'!$D$4:$Z$4"),INDIRECT("'"&amp;$B25&amp;" EI'!$D$6:$Z$53")))*_xlfn.XLOOKUP($B25&amp;D$15,'Gas Useage'!$A$4:$A$15&amp;'Gas Useage'!$B$4:$B$15,_xlfn.XLOOKUP($C25&amp;D$14,'Gas Useage'!$C$2:$AB$2&amp;'Gas Useage'!$C$3:$AB$3,'Gas Useage'!$C$4:$AB$15))/_xlfn.XLOOKUP($B25&amp;D$15,'Gas Useage'!$A$4:$A$15&amp;'Gas Useage'!$B$4:$B$15,_xlfn.XLOOKUP(D$14,'Gas Useage'!$AA$3:$AB$3,'Gas Useage'!$AA$4:$AB$15))</f>
        <v>0.3074480548077772</v>
      </c>
      <c r="E25" s="259" cm="1">
        <f t="array" aca="1" ref="E25" ca="1">_xlfn.XLOOKUP(E$13,INDIRECT("'"&amp;$B25&amp;" EI'!$B$6:$B$53"),_xlfn.XLOOKUP($C$10,INDIRECT("'"&amp;$B25&amp;" EI'!$D$4:$Z$4"),INDIRECT("'"&amp;$B25&amp;" EI'!$D$6:$Z$53")))*_xlfn.XLOOKUP($B25&amp;E$15,'Gas Useage'!$A$4:$A$15&amp;'Gas Useage'!$B$4:$B$15,_xlfn.XLOOKUP($C25&amp;E$14,'Gas Useage'!$C$2:$AB$2&amp;'Gas Useage'!$C$3:$AB$3,'Gas Useage'!$C$4:$AB$15))/_xlfn.XLOOKUP($B25&amp;E$15,'Gas Useage'!$A$4:$A$15&amp;'Gas Useage'!$B$4:$B$15,_xlfn.XLOOKUP(E$14,'Gas Useage'!$AA$3:$AB$3,'Gas Useage'!$AA$4:$AB$15))</f>
        <v>2.9620745133401405E-2</v>
      </c>
      <c r="F25" s="259" cm="1">
        <f t="array" aca="1" ref="F25" ca="1">_xlfn.XLOOKUP(F$13,INDIRECT("'"&amp;$B25&amp;" EI'!$B$6:$B$53"),_xlfn.XLOOKUP($C$10,INDIRECT("'"&amp;$B25&amp;" EI'!$D$4:$Z$4"),INDIRECT("'"&amp;$B25&amp;" EI'!$D$6:$Z$53")))*_xlfn.XLOOKUP($B25&amp;F$15,'Gas Useage'!$A$4:$A$15&amp;'Gas Useage'!$B$4:$B$15,_xlfn.XLOOKUP($C25&amp;F$14,'Gas Useage'!$C$2:$AB$2&amp;'Gas Useage'!$C$3:$AB$3,'Gas Useage'!$C$4:$AB$15))/_xlfn.XLOOKUP($B25&amp;F$15,'Gas Useage'!$A$4:$A$15&amp;'Gas Useage'!$B$4:$B$15,_xlfn.XLOOKUP(F$14,'Gas Useage'!$AA$3:$AB$3,'Gas Useage'!$AA$4:$AB$15))</f>
        <v>0.71102214257388541</v>
      </c>
      <c r="G25" s="259" cm="1">
        <f t="array" aca="1" ref="G25" ca="1">_xlfn.XLOOKUP(G$13,INDIRECT("'"&amp;$B25&amp;" EI'!$B$6:$B$53"),_xlfn.XLOOKUP($C$10,INDIRECT("'"&amp;$B25&amp;" EI'!$D$4:$Z$4"),INDIRECT("'"&amp;$B25&amp;" EI'!$D$6:$Z$53")))*_xlfn.XLOOKUP($B25&amp;G$15,'Gas Useage'!$A$4:$A$15&amp;'Gas Useage'!$B$4:$B$15,_xlfn.XLOOKUP($C25&amp;G$14,'Gas Useage'!$C$2:$AB$2&amp;'Gas Useage'!$C$3:$AB$3,'Gas Useage'!$C$4:$AB$15))/_xlfn.XLOOKUP($B25&amp;G$15,'Gas Useage'!$A$4:$A$15&amp;'Gas Useage'!$B$4:$B$15,_xlfn.XLOOKUP(G$14,'Gas Useage'!$AA$3:$AB$3,'Gas Useage'!$AA$4:$AB$15))</f>
        <v>6.850264732542817E-2</v>
      </c>
      <c r="H25" s="260" t="s">
        <v>278</v>
      </c>
      <c r="I25" s="260" t="s">
        <v>278</v>
      </c>
      <c r="J25" s="260" t="s">
        <v>278</v>
      </c>
      <c r="K25" s="261" t="s">
        <v>278</v>
      </c>
      <c r="N25" s="258"/>
    </row>
    <row r="26" spans="2:14" ht="13.5" x14ac:dyDescent="0.25">
      <c r="B26" s="32">
        <v>2020</v>
      </c>
      <c r="C26" s="494" t="s">
        <v>288</v>
      </c>
      <c r="D26" s="259" cm="1">
        <f t="array" aca="1" ref="D26" ca="1">_xlfn.XLOOKUP(D$13,INDIRECT("'"&amp;$B26&amp;" EI'!$B$6:$B$53"),_xlfn.XLOOKUP($C$10,INDIRECT("'"&amp;$B26&amp;" EI'!$D$4:$Z$4"),INDIRECT("'"&amp;$B26&amp;" EI'!$D$6:$Z$53")))*_xlfn.XLOOKUP($B26&amp;D$15,'Gas Useage'!$A$4:$A$15&amp;'Gas Useage'!$B$4:$B$15,_xlfn.XLOOKUP($C26&amp;D$14,'Gas Useage'!$C$2:$AB$2&amp;'Gas Useage'!$C$3:$AB$3,'Gas Useage'!$C$4:$AB$15))/_xlfn.XLOOKUP($B26&amp;D$15,'Gas Useage'!$A$4:$A$15&amp;'Gas Useage'!$B$4:$B$15,_xlfn.XLOOKUP(D$14,'Gas Useage'!$AA$3:$AB$3,'Gas Useage'!$AA$4:$AB$15))</f>
        <v>0.66292013870490751</v>
      </c>
      <c r="E26" s="259" cm="1">
        <f t="array" aca="1" ref="E26" ca="1">_xlfn.XLOOKUP(E$13,INDIRECT("'"&amp;$B26&amp;" EI'!$B$6:$B$53"),_xlfn.XLOOKUP($C$10,INDIRECT("'"&amp;$B26&amp;" EI'!$D$4:$Z$4"),INDIRECT("'"&amp;$B26&amp;" EI'!$D$6:$Z$53")))*_xlfn.XLOOKUP($B26&amp;E$15,'Gas Useage'!$A$4:$A$15&amp;'Gas Useage'!$B$4:$B$15,_xlfn.XLOOKUP($C26&amp;E$14,'Gas Useage'!$C$2:$AB$2&amp;'Gas Useage'!$C$3:$AB$3,'Gas Useage'!$C$4:$AB$15))/_xlfn.XLOOKUP($B26&amp;E$15,'Gas Useage'!$A$4:$A$15&amp;'Gas Useage'!$B$4:$B$15,_xlfn.XLOOKUP(E$14,'Gas Useage'!$AA$3:$AB$3,'Gas Useage'!$AA$4:$AB$15))</f>
        <v>8.6284437644776793E-2</v>
      </c>
      <c r="F26" s="259" cm="1">
        <f t="array" aca="1" ref="F26" ca="1">_xlfn.XLOOKUP(F$13,INDIRECT("'"&amp;$B26&amp;" EI'!$B$6:$B$53"),_xlfn.XLOOKUP($C$10,INDIRECT("'"&amp;$B26&amp;" EI'!$D$4:$Z$4"),INDIRECT("'"&amp;$B26&amp;" EI'!$D$6:$Z$53")))*_xlfn.XLOOKUP($B26&amp;F$15,'Gas Useage'!$A$4:$A$15&amp;'Gas Useage'!$B$4:$B$15,_xlfn.XLOOKUP($C26&amp;F$14,'Gas Useage'!$C$2:$AB$2&amp;'Gas Useage'!$C$3:$AB$3,'Gas Useage'!$C$4:$AB$15))/_xlfn.XLOOKUP($B26&amp;F$15,'Gas Useage'!$A$4:$A$15&amp;'Gas Useage'!$B$4:$B$15,_xlfn.XLOOKUP(F$14,'Gas Useage'!$AA$3:$AB$3,'Gas Useage'!$AA$4:$AB$15))</f>
        <v>1.0034679604503307</v>
      </c>
      <c r="G26" s="259" cm="1">
        <f t="array" aca="1" ref="G26" ca="1">_xlfn.XLOOKUP(G$13,INDIRECT("'"&amp;$B26&amp;" EI'!$B$6:$B$53"),_xlfn.XLOOKUP($C$10,INDIRECT("'"&amp;$B26&amp;" EI'!$D$4:$Z$4"),INDIRECT("'"&amp;$B26&amp;" EI'!$D$6:$Z$53")))*_xlfn.XLOOKUP($B26&amp;G$15,'Gas Useage'!$A$4:$A$15&amp;'Gas Useage'!$B$4:$B$15,_xlfn.XLOOKUP($C26&amp;G$14,'Gas Useage'!$C$2:$AB$2&amp;'Gas Useage'!$C$3:$AB$3,'Gas Useage'!$C$4:$AB$15))/_xlfn.XLOOKUP($B26&amp;G$15,'Gas Useage'!$A$4:$A$15&amp;'Gas Useage'!$B$4:$B$15,_xlfn.XLOOKUP(G$14,'Gas Useage'!$AA$3:$AB$3,'Gas Useage'!$AA$4:$AB$15))</f>
        <v>0.1306095012155753</v>
      </c>
      <c r="H26" s="260" t="s">
        <v>278</v>
      </c>
      <c r="I26" s="260" t="s">
        <v>278</v>
      </c>
      <c r="J26" s="260" t="s">
        <v>278</v>
      </c>
      <c r="K26" s="261" t="s">
        <v>278</v>
      </c>
      <c r="N26" s="258"/>
    </row>
    <row r="27" spans="2:14" ht="13.5" x14ac:dyDescent="0.25">
      <c r="B27" s="32">
        <v>2020</v>
      </c>
      <c r="C27" s="494" t="s">
        <v>289</v>
      </c>
      <c r="D27" s="259" cm="1">
        <f t="array" aca="1" ref="D27" ca="1">_xlfn.XLOOKUP(D$13,INDIRECT("'"&amp;$B27&amp;" EI'!$B$6:$B$53"),_xlfn.XLOOKUP($C$10,INDIRECT("'"&amp;$B27&amp;" EI'!$D$4:$Z$4"),INDIRECT("'"&amp;$B27&amp;" EI'!$D$6:$Z$53")))*_xlfn.XLOOKUP($B27&amp;D$15,'Gas Useage'!$A$4:$A$15&amp;'Gas Useage'!$B$4:$B$15,_xlfn.XLOOKUP($C27&amp;D$14,'Gas Useage'!$C$2:$AB$2&amp;'Gas Useage'!$C$3:$AB$3,'Gas Useage'!$C$4:$AB$15))/_xlfn.XLOOKUP($B27&amp;D$15,'Gas Useage'!$A$4:$A$15&amp;'Gas Useage'!$B$4:$B$15,_xlfn.XLOOKUP(D$14,'Gas Useage'!$AA$3:$AB$3,'Gas Useage'!$AA$4:$AB$15))</f>
        <v>0.66292013870490751</v>
      </c>
      <c r="E27" s="259" cm="1">
        <f t="array" aca="1" ref="E27" ca="1">_xlfn.XLOOKUP(E$13,INDIRECT("'"&amp;$B27&amp;" EI'!$B$6:$B$53"),_xlfn.XLOOKUP($C$10,INDIRECT("'"&amp;$B27&amp;" EI'!$D$4:$Z$4"),INDIRECT("'"&amp;$B27&amp;" EI'!$D$6:$Z$53")))*_xlfn.XLOOKUP($B27&amp;E$15,'Gas Useage'!$A$4:$A$15&amp;'Gas Useage'!$B$4:$B$15,_xlfn.XLOOKUP($C27&amp;E$14,'Gas Useage'!$C$2:$AB$2&amp;'Gas Useage'!$C$3:$AB$3,'Gas Useage'!$C$4:$AB$15))/_xlfn.XLOOKUP($B27&amp;E$15,'Gas Useage'!$A$4:$A$15&amp;'Gas Useage'!$B$4:$B$15,_xlfn.XLOOKUP(E$14,'Gas Useage'!$AA$3:$AB$3,'Gas Useage'!$AA$4:$AB$15))</f>
        <v>8.6284437644776793E-2</v>
      </c>
      <c r="F27" s="259" cm="1">
        <f t="array" aca="1" ref="F27" ca="1">_xlfn.XLOOKUP(F$13,INDIRECT("'"&amp;$B27&amp;" EI'!$B$6:$B$53"),_xlfn.XLOOKUP($C$10,INDIRECT("'"&amp;$B27&amp;" EI'!$D$4:$Z$4"),INDIRECT("'"&amp;$B27&amp;" EI'!$D$6:$Z$53")))*_xlfn.XLOOKUP($B27&amp;F$15,'Gas Useage'!$A$4:$A$15&amp;'Gas Useage'!$B$4:$B$15,_xlfn.XLOOKUP($C27&amp;F$14,'Gas Useage'!$C$2:$AB$2&amp;'Gas Useage'!$C$3:$AB$3,'Gas Useage'!$C$4:$AB$15))/_xlfn.XLOOKUP($B27&amp;F$15,'Gas Useage'!$A$4:$A$15&amp;'Gas Useage'!$B$4:$B$15,_xlfn.XLOOKUP(F$14,'Gas Useage'!$AA$3:$AB$3,'Gas Useage'!$AA$4:$AB$15))</f>
        <v>1.0034679604503307</v>
      </c>
      <c r="G27" s="259" cm="1">
        <f t="array" aca="1" ref="G27" ca="1">_xlfn.XLOOKUP(G$13,INDIRECT("'"&amp;$B27&amp;" EI'!$B$6:$B$53"),_xlfn.XLOOKUP($C$10,INDIRECT("'"&amp;$B27&amp;" EI'!$D$4:$Z$4"),INDIRECT("'"&amp;$B27&amp;" EI'!$D$6:$Z$53")))*_xlfn.XLOOKUP($B27&amp;G$15,'Gas Useage'!$A$4:$A$15&amp;'Gas Useage'!$B$4:$B$15,_xlfn.XLOOKUP($C27&amp;G$14,'Gas Useage'!$C$2:$AB$2&amp;'Gas Useage'!$C$3:$AB$3,'Gas Useage'!$C$4:$AB$15))/_xlfn.XLOOKUP($B27&amp;G$15,'Gas Useage'!$A$4:$A$15&amp;'Gas Useage'!$B$4:$B$15,_xlfn.XLOOKUP(G$14,'Gas Useage'!$AA$3:$AB$3,'Gas Useage'!$AA$4:$AB$15))</f>
        <v>0.1306095012155753</v>
      </c>
      <c r="H27" s="260" t="s">
        <v>278</v>
      </c>
      <c r="I27" s="260" t="s">
        <v>278</v>
      </c>
      <c r="J27" s="260" t="s">
        <v>278</v>
      </c>
      <c r="K27" s="261" t="s">
        <v>278</v>
      </c>
      <c r="N27" s="258"/>
    </row>
    <row r="28" spans="2:14" ht="13.5" x14ac:dyDescent="0.25">
      <c r="B28" s="32">
        <v>2021</v>
      </c>
      <c r="C28" s="494" t="s">
        <v>277</v>
      </c>
      <c r="D28" s="259" cm="1">
        <f t="array" aca="1" ref="D28" ca="1">_xlfn.XLOOKUP(D$13,INDIRECT("'"&amp;$B28&amp;" EI'!$B$6:$B$53"),_xlfn.XLOOKUP($C$10,INDIRECT("'"&amp;$B28&amp;" EI'!$D$4:$Z$4"),INDIRECT("'"&amp;$B28&amp;" EI'!$D$6:$Z$53")))*_xlfn.XLOOKUP($B28&amp;D$15,'Gas Useage'!$A$4:$A$15&amp;'Gas Useage'!$B$4:$B$15,_xlfn.XLOOKUP($C28&amp;D$14,'Gas Useage'!$C$2:$AB$2&amp;'Gas Useage'!$C$3:$AB$3,'Gas Useage'!$C$4:$AB$15))/_xlfn.XLOOKUP($B28&amp;D$15,'Gas Useage'!$A$4:$A$15&amp;'Gas Useage'!$B$4:$B$15,_xlfn.XLOOKUP(D$14,'Gas Useage'!$AA$3:$AB$3,'Gas Useage'!$AA$4:$AB$15))</f>
        <v>0.96189892534751498</v>
      </c>
      <c r="E28" s="259" cm="1">
        <f t="array" aca="1" ref="E28" ca="1">_xlfn.XLOOKUP(E$13,INDIRECT("'"&amp;$B28&amp;" EI'!$B$6:$B$53"),_xlfn.XLOOKUP($C$10,INDIRECT("'"&amp;$B28&amp;" EI'!$D$4:$Z$4"),INDIRECT("'"&amp;$B28&amp;" EI'!$D$6:$Z$53")))*_xlfn.XLOOKUP($B28&amp;E$15,'Gas Useage'!$A$4:$A$15&amp;'Gas Useage'!$B$4:$B$15,_xlfn.XLOOKUP($C28&amp;E$14,'Gas Useage'!$C$2:$AB$2&amp;'Gas Useage'!$C$3:$AB$3,'Gas Useage'!$C$4:$AB$15))/_xlfn.XLOOKUP($B28&amp;E$15,'Gas Useage'!$A$4:$A$15&amp;'Gas Useage'!$B$4:$B$15,_xlfn.XLOOKUP(E$14,'Gas Useage'!$AA$3:$AB$3,'Gas Useage'!$AA$4:$AB$15))</f>
        <v>4.1048398832015075E-2</v>
      </c>
      <c r="F28" s="259" cm="1">
        <f t="array" aca="1" ref="F28" ca="1">_xlfn.XLOOKUP(F$13,INDIRECT("'"&amp;$B28&amp;" EI'!$B$6:$B$53"),_xlfn.XLOOKUP($C$10,INDIRECT("'"&amp;$B28&amp;" EI'!$D$4:$Z$4"),INDIRECT("'"&amp;$B28&amp;" EI'!$D$6:$Z$53")))*_xlfn.XLOOKUP($B28&amp;F$15,'Gas Useage'!$A$4:$A$15&amp;'Gas Useage'!$B$4:$B$15,_xlfn.XLOOKUP($C28&amp;F$14,'Gas Useage'!$C$2:$AB$2&amp;'Gas Useage'!$C$3:$AB$3,'Gas Useage'!$C$4:$AB$15))/_xlfn.XLOOKUP($B28&amp;F$15,'Gas Useage'!$A$4:$A$15&amp;'Gas Useage'!$B$4:$B$15,_xlfn.XLOOKUP(F$14,'Gas Useage'!$AA$3:$AB$3,'Gas Useage'!$AA$4:$AB$15))</f>
        <v>1.1915980494932121</v>
      </c>
      <c r="G28" s="259" cm="1">
        <f t="array" aca="1" ref="G28" ca="1">_xlfn.XLOOKUP(G$13,INDIRECT("'"&amp;$B28&amp;" EI'!$B$6:$B$53"),_xlfn.XLOOKUP($C$10,INDIRECT("'"&amp;$B28&amp;" EI'!$D$4:$Z$4"),INDIRECT("'"&amp;$B28&amp;" EI'!$D$6:$Z$53")))*_xlfn.XLOOKUP($B28&amp;G$15,'Gas Useage'!$A$4:$A$15&amp;'Gas Useage'!$B$4:$B$15,_xlfn.XLOOKUP($C28&amp;G$14,'Gas Useage'!$C$2:$AB$2&amp;'Gas Useage'!$C$3:$AB$3,'Gas Useage'!$C$4:$AB$15))/_xlfn.XLOOKUP($B28&amp;G$15,'Gas Useage'!$A$4:$A$15&amp;'Gas Useage'!$B$4:$B$15,_xlfn.XLOOKUP(G$14,'Gas Useage'!$AA$3:$AB$3,'Gas Useage'!$AA$4:$AB$15))</f>
        <v>5.0850656648126775E-2</v>
      </c>
      <c r="H28" s="260" t="s">
        <v>278</v>
      </c>
      <c r="I28" s="260" t="s">
        <v>278</v>
      </c>
      <c r="J28" s="260" t="s">
        <v>278</v>
      </c>
      <c r="K28" s="261" t="s">
        <v>278</v>
      </c>
      <c r="N28" s="258"/>
    </row>
    <row r="29" spans="2:14" ht="13.5" x14ac:dyDescent="0.25">
      <c r="B29" s="32">
        <v>2021</v>
      </c>
      <c r="C29" s="494" t="s">
        <v>279</v>
      </c>
      <c r="D29" s="259" cm="1">
        <f t="array" aca="1" ref="D29" ca="1">_xlfn.XLOOKUP(D$13,INDIRECT("'"&amp;$B29&amp;" EI'!$B$6:$B$53"),_xlfn.XLOOKUP($C$10,INDIRECT("'"&amp;$B29&amp;" EI'!$D$4:$Z$4"),INDIRECT("'"&amp;$B29&amp;" EI'!$D$6:$Z$53")))*_xlfn.XLOOKUP($B29&amp;D$15,'Gas Useage'!$A$4:$A$15&amp;'Gas Useage'!$B$4:$B$15,_xlfn.XLOOKUP($C29&amp;D$14,'Gas Useage'!$C$2:$AB$2&amp;'Gas Useage'!$C$3:$AB$3,'Gas Useage'!$C$4:$AB$15))/_xlfn.XLOOKUP($B29&amp;D$15,'Gas Useage'!$A$4:$A$15&amp;'Gas Useage'!$B$4:$B$15,_xlfn.XLOOKUP(D$14,'Gas Useage'!$AA$3:$AB$3,'Gas Useage'!$AA$4:$AB$15))</f>
        <v>0.65283752785184335</v>
      </c>
      <c r="E29" s="259" cm="1">
        <f t="array" aca="1" ref="E29" ca="1">_xlfn.XLOOKUP(E$13,INDIRECT("'"&amp;$B29&amp;" EI'!$B$6:$B$53"),_xlfn.XLOOKUP($C$10,INDIRECT("'"&amp;$B29&amp;" EI'!$D$4:$Z$4"),INDIRECT("'"&amp;$B29&amp;" EI'!$D$6:$Z$53")))*_xlfn.XLOOKUP($B29&amp;E$15,'Gas Useage'!$A$4:$A$15&amp;'Gas Useage'!$B$4:$B$15,_xlfn.XLOOKUP($C29&amp;E$14,'Gas Useage'!$C$2:$AB$2&amp;'Gas Useage'!$C$3:$AB$3,'Gas Useage'!$C$4:$AB$15))/_xlfn.XLOOKUP($B29&amp;E$15,'Gas Useage'!$A$4:$A$15&amp;'Gas Useage'!$B$4:$B$15,_xlfn.XLOOKUP(E$14,'Gas Useage'!$AA$3:$AB$3,'Gas Useage'!$AA$4:$AB$15))</f>
        <v>5.9390495019998935E-2</v>
      </c>
      <c r="F29" s="259" cm="1">
        <f t="array" aca="1" ref="F29" ca="1">_xlfn.XLOOKUP(F$13,INDIRECT("'"&amp;$B29&amp;" EI'!$B$6:$B$53"),_xlfn.XLOOKUP($C$10,INDIRECT("'"&amp;$B29&amp;" EI'!$D$4:$Z$4"),INDIRECT("'"&amp;$B29&amp;" EI'!$D$6:$Z$53")))*_xlfn.XLOOKUP($B29&amp;F$15,'Gas Useage'!$A$4:$A$15&amp;'Gas Useage'!$B$4:$B$15,_xlfn.XLOOKUP($C29&amp;F$14,'Gas Useage'!$C$2:$AB$2&amp;'Gas Useage'!$C$3:$AB$3,'Gas Useage'!$C$4:$AB$15))/_xlfn.XLOOKUP($B29&amp;F$15,'Gas Useage'!$A$4:$A$15&amp;'Gas Useage'!$B$4:$B$15,_xlfn.XLOOKUP(F$14,'Gas Useage'!$AA$3:$AB$3,'Gas Useage'!$AA$4:$AB$15))</f>
        <v>0.89515128220238671</v>
      </c>
      <c r="G29" s="259" cm="1">
        <f t="array" aca="1" ref="G29" ca="1">_xlfn.XLOOKUP(G$13,INDIRECT("'"&amp;$B29&amp;" EI'!$B$6:$B$53"),_xlfn.XLOOKUP($C$10,INDIRECT("'"&amp;$B29&amp;" EI'!$D$4:$Z$4"),INDIRECT("'"&amp;$B29&amp;" EI'!$D$6:$Z$53")))*_xlfn.XLOOKUP($B29&amp;G$15,'Gas Useage'!$A$4:$A$15&amp;'Gas Useage'!$B$4:$B$15,_xlfn.XLOOKUP($C29&amp;G$14,'Gas Useage'!$C$2:$AB$2&amp;'Gas Useage'!$C$3:$AB$3,'Gas Useage'!$C$4:$AB$15))/_xlfn.XLOOKUP($B29&amp;G$15,'Gas Useage'!$A$4:$A$15&amp;'Gas Useage'!$B$4:$B$15,_xlfn.XLOOKUP(G$14,'Gas Useage'!$AA$3:$AB$3,'Gas Useage'!$AA$4:$AB$15))</f>
        <v>8.1434469526775716E-2</v>
      </c>
      <c r="H29" s="260" t="s">
        <v>278</v>
      </c>
      <c r="I29" s="260" t="s">
        <v>278</v>
      </c>
      <c r="J29" s="260" t="s">
        <v>278</v>
      </c>
      <c r="K29" s="261" t="s">
        <v>278</v>
      </c>
      <c r="N29" s="258"/>
    </row>
    <row r="30" spans="2:14" ht="13.5" x14ac:dyDescent="0.25">
      <c r="B30" s="32">
        <v>2021</v>
      </c>
      <c r="C30" s="494" t="s">
        <v>280</v>
      </c>
      <c r="D30" s="259" cm="1">
        <f t="array" aca="1" ref="D30" ca="1">_xlfn.XLOOKUP(D$13,INDIRECT("'"&amp;$B30&amp;" EI'!$B$6:$B$53"),_xlfn.XLOOKUP($C$10,INDIRECT("'"&amp;$B30&amp;" EI'!$D$4:$Z$4"),INDIRECT("'"&amp;$B30&amp;" EI'!$D$6:$Z$53")))*_xlfn.XLOOKUP($B30&amp;D$15,'Gas Useage'!$A$4:$A$15&amp;'Gas Useage'!$B$4:$B$15,_xlfn.XLOOKUP($C30&amp;D$14,'Gas Useage'!$C$2:$AB$2&amp;'Gas Useage'!$C$3:$AB$3,'Gas Useage'!$C$4:$AB$15))/_xlfn.XLOOKUP($B30&amp;D$15,'Gas Useage'!$A$4:$A$15&amp;'Gas Useage'!$B$4:$B$15,_xlfn.XLOOKUP(D$14,'Gas Useage'!$AA$3:$AB$3,'Gas Useage'!$AA$4:$AB$15))</f>
        <v>1.3645610815775358</v>
      </c>
      <c r="E30" s="259" cm="1">
        <f t="array" aca="1" ref="E30" ca="1">_xlfn.XLOOKUP(E$13,INDIRECT("'"&amp;$B30&amp;" EI'!$B$6:$B$53"),_xlfn.XLOOKUP($C$10,INDIRECT("'"&amp;$B30&amp;" EI'!$D$4:$Z$4"),INDIRECT("'"&amp;$B30&amp;" EI'!$D$6:$Z$53")))*_xlfn.XLOOKUP($B30&amp;E$15,'Gas Useage'!$A$4:$A$15&amp;'Gas Useage'!$B$4:$B$15,_xlfn.XLOOKUP($C30&amp;E$14,'Gas Useage'!$C$2:$AB$2&amp;'Gas Useage'!$C$3:$AB$3,'Gas Useage'!$C$4:$AB$15))/_xlfn.XLOOKUP($B30&amp;E$15,'Gas Useage'!$A$4:$A$15&amp;'Gas Useage'!$B$4:$B$15,_xlfn.XLOOKUP(E$14,'Gas Useage'!$AA$3:$AB$3,'Gas Useage'!$AA$4:$AB$15))</f>
        <v>9.7057706733064283E-2</v>
      </c>
      <c r="F30" s="259" cm="1">
        <f t="array" aca="1" ref="F30" ca="1">_xlfn.XLOOKUP(F$13,INDIRECT("'"&amp;$B30&amp;" EI'!$B$6:$B$53"),_xlfn.XLOOKUP($C$10,INDIRECT("'"&amp;$B30&amp;" EI'!$D$4:$Z$4"),INDIRECT("'"&amp;$B30&amp;" EI'!$D$6:$Z$53")))*_xlfn.XLOOKUP($B30&amp;F$15,'Gas Useage'!$A$4:$A$15&amp;'Gas Useage'!$B$4:$B$15,_xlfn.XLOOKUP($C30&amp;F$14,'Gas Useage'!$C$2:$AB$2&amp;'Gas Useage'!$C$3:$AB$3,'Gas Useage'!$C$4:$AB$15))/_xlfn.XLOOKUP($B30&amp;F$15,'Gas Useage'!$A$4:$A$15&amp;'Gas Useage'!$B$4:$B$15,_xlfn.XLOOKUP(F$14,'Gas Useage'!$AA$3:$AB$3,'Gas Useage'!$AA$4:$AB$15))</f>
        <v>0.94297807062731431</v>
      </c>
      <c r="G30" s="259" cm="1">
        <f t="array" aca="1" ref="G30" ca="1">_xlfn.XLOOKUP(G$13,INDIRECT("'"&amp;$B30&amp;" EI'!$B$6:$B$53"),_xlfn.XLOOKUP($C$10,INDIRECT("'"&amp;$B30&amp;" EI'!$D$4:$Z$4"),INDIRECT("'"&amp;$B30&amp;" EI'!$D$6:$Z$53")))*_xlfn.XLOOKUP($B30&amp;G$15,'Gas Useage'!$A$4:$A$15&amp;'Gas Useage'!$B$4:$B$15,_xlfn.XLOOKUP($C30&amp;G$14,'Gas Useage'!$C$2:$AB$2&amp;'Gas Useage'!$C$3:$AB$3,'Gas Useage'!$C$4:$AB$15))/_xlfn.XLOOKUP($B30&amp;G$15,'Gas Useage'!$A$4:$A$15&amp;'Gas Useage'!$B$4:$B$15,_xlfn.XLOOKUP(G$14,'Gas Useage'!$AA$3:$AB$3,'Gas Useage'!$AA$4:$AB$15))</f>
        <v>6.7071595599699232E-2</v>
      </c>
      <c r="H30" s="260" t="s">
        <v>278</v>
      </c>
      <c r="I30" s="260" t="s">
        <v>278</v>
      </c>
      <c r="J30" s="260" t="s">
        <v>278</v>
      </c>
      <c r="K30" s="261" t="s">
        <v>278</v>
      </c>
      <c r="N30" s="258"/>
    </row>
    <row r="31" spans="2:14" ht="13.5" x14ac:dyDescent="0.25">
      <c r="B31" s="32">
        <v>2021</v>
      </c>
      <c r="C31" s="494" t="s">
        <v>281</v>
      </c>
      <c r="D31" s="259" cm="1">
        <f t="array" aca="1" ref="D31" ca="1">_xlfn.XLOOKUP(D$13,INDIRECT("'"&amp;$B31&amp;" EI'!$B$6:$B$53"),_xlfn.XLOOKUP($C$10,INDIRECT("'"&amp;$B31&amp;" EI'!$D$4:$Z$4"),INDIRECT("'"&amp;$B31&amp;" EI'!$D$6:$Z$53")))*_xlfn.XLOOKUP($B31&amp;D$15,'Gas Useage'!$A$4:$A$15&amp;'Gas Useage'!$B$4:$B$15,_xlfn.XLOOKUP($C31&amp;D$14,'Gas Useage'!$C$2:$AB$2&amp;'Gas Useage'!$C$3:$AB$3,'Gas Useage'!$C$4:$AB$15))/_xlfn.XLOOKUP($B31&amp;D$15,'Gas Useage'!$A$4:$A$15&amp;'Gas Useage'!$B$4:$B$15,_xlfn.XLOOKUP(D$14,'Gas Useage'!$AA$3:$AB$3,'Gas Useage'!$AA$4:$AB$15))</f>
        <v>0.6123662806883956</v>
      </c>
      <c r="E31" s="259" cm="1">
        <f t="array" aca="1" ref="E31" ca="1">_xlfn.XLOOKUP(E$13,INDIRECT("'"&amp;$B31&amp;" EI'!$B$6:$B$53"),_xlfn.XLOOKUP($C$10,INDIRECT("'"&amp;$B31&amp;" EI'!$D$4:$Z$4"),INDIRECT("'"&amp;$B31&amp;" EI'!$D$6:$Z$53")))*_xlfn.XLOOKUP($B31&amp;E$15,'Gas Useage'!$A$4:$A$15&amp;'Gas Useage'!$B$4:$B$15,_xlfn.XLOOKUP($C31&amp;E$14,'Gas Useage'!$C$2:$AB$2&amp;'Gas Useage'!$C$3:$AB$3,'Gas Useage'!$C$4:$AB$15))/_xlfn.XLOOKUP($B31&amp;E$15,'Gas Useage'!$A$4:$A$15&amp;'Gas Useage'!$B$4:$B$15,_xlfn.XLOOKUP(E$14,'Gas Useage'!$AA$3:$AB$3,'Gas Useage'!$AA$4:$AB$15))</f>
        <v>3.5655007236999929E-2</v>
      </c>
      <c r="F31" s="259" cm="1">
        <f t="array" aca="1" ref="F31" ca="1">_xlfn.XLOOKUP(F$13,INDIRECT("'"&amp;$B31&amp;" EI'!$B$6:$B$53"),_xlfn.XLOOKUP($C$10,INDIRECT("'"&amp;$B31&amp;" EI'!$D$4:$Z$4"),INDIRECT("'"&amp;$B31&amp;" EI'!$D$6:$Z$53")))*_xlfn.XLOOKUP($B31&amp;F$15,'Gas Useage'!$A$4:$A$15&amp;'Gas Useage'!$B$4:$B$15,_xlfn.XLOOKUP($C31&amp;F$14,'Gas Useage'!$C$2:$AB$2&amp;'Gas Useage'!$C$3:$AB$3,'Gas Useage'!$C$4:$AB$15))/_xlfn.XLOOKUP($B31&amp;F$15,'Gas Useage'!$A$4:$A$15&amp;'Gas Useage'!$B$4:$B$15,_xlfn.XLOOKUP(F$14,'Gas Useage'!$AA$3:$AB$3,'Gas Useage'!$AA$4:$AB$15))</f>
        <v>0.89649961313401594</v>
      </c>
      <c r="G31" s="259" cm="1">
        <f t="array" aca="1" ref="G31" ca="1">_xlfn.XLOOKUP(G$13,INDIRECT("'"&amp;$B31&amp;" EI'!$B$6:$B$53"),_xlfn.XLOOKUP($C$10,INDIRECT("'"&amp;$B31&amp;" EI'!$D$4:$Z$4"),INDIRECT("'"&amp;$B31&amp;" EI'!$D$6:$Z$53")))*_xlfn.XLOOKUP($B31&amp;G$15,'Gas Useage'!$A$4:$A$15&amp;'Gas Useage'!$B$4:$B$15,_xlfn.XLOOKUP($C31&amp;G$14,'Gas Useage'!$C$2:$AB$2&amp;'Gas Useage'!$C$3:$AB$3,'Gas Useage'!$C$4:$AB$15))/_xlfn.XLOOKUP($B31&amp;G$15,'Gas Useage'!$A$4:$A$15&amp;'Gas Useage'!$B$4:$B$15,_xlfn.XLOOKUP(G$14,'Gas Useage'!$AA$3:$AB$3,'Gas Useage'!$AA$4:$AB$15))</f>
        <v>5.2198661491171021E-2</v>
      </c>
      <c r="H31" s="260" t="s">
        <v>278</v>
      </c>
      <c r="I31" s="260" t="s">
        <v>278</v>
      </c>
      <c r="J31" s="260" t="s">
        <v>278</v>
      </c>
      <c r="K31" s="261" t="s">
        <v>278</v>
      </c>
      <c r="N31" s="258"/>
    </row>
    <row r="32" spans="2:14" ht="13.5" x14ac:dyDescent="0.25">
      <c r="B32" s="32">
        <v>2021</v>
      </c>
      <c r="C32" s="494" t="s">
        <v>282</v>
      </c>
      <c r="D32" s="259" cm="1">
        <f t="array" aca="1" ref="D32" ca="1">_xlfn.XLOOKUP(D$13,INDIRECT("'"&amp;$B32&amp;" EI'!$B$6:$B$53"),_xlfn.XLOOKUP($C$10,INDIRECT("'"&amp;$B32&amp;" EI'!$D$4:$Z$4"),INDIRECT("'"&amp;$B32&amp;" EI'!$D$6:$Z$53")))*_xlfn.XLOOKUP($B32&amp;D$15,'Gas Useage'!$A$4:$A$15&amp;'Gas Useage'!$B$4:$B$15,_xlfn.XLOOKUP($C32&amp;D$14,'Gas Useage'!$C$2:$AB$2&amp;'Gas Useage'!$C$3:$AB$3,'Gas Useage'!$C$4:$AB$15))/_xlfn.XLOOKUP($B32&amp;D$15,'Gas Useage'!$A$4:$A$15&amp;'Gas Useage'!$B$4:$B$15,_xlfn.XLOOKUP(D$14,'Gas Useage'!$AA$3:$AB$3,'Gas Useage'!$AA$4:$AB$15))</f>
        <v>0.44720435693767796</v>
      </c>
      <c r="E32" s="259" cm="1">
        <f t="array" aca="1" ref="E32" ca="1">_xlfn.XLOOKUP(E$13,INDIRECT("'"&amp;$B32&amp;" EI'!$B$6:$B$53"),_xlfn.XLOOKUP($C$10,INDIRECT("'"&amp;$B32&amp;" EI'!$D$4:$Z$4"),INDIRECT("'"&amp;$B32&amp;" EI'!$D$6:$Z$53")))*_xlfn.XLOOKUP($B32&amp;E$15,'Gas Useage'!$A$4:$A$15&amp;'Gas Useage'!$B$4:$B$15,_xlfn.XLOOKUP($C32&amp;E$14,'Gas Useage'!$C$2:$AB$2&amp;'Gas Useage'!$C$3:$AB$3,'Gas Useage'!$C$4:$AB$15))/_xlfn.XLOOKUP($B32&amp;E$15,'Gas Useage'!$A$4:$A$15&amp;'Gas Useage'!$B$4:$B$15,_xlfn.XLOOKUP(E$14,'Gas Useage'!$AA$3:$AB$3,'Gas Useage'!$AA$4:$AB$15))</f>
        <v>2.3453291397753189E-2</v>
      </c>
      <c r="F32" s="259" cm="1">
        <f t="array" aca="1" ref="F32" ca="1">_xlfn.XLOOKUP(F$13,INDIRECT("'"&amp;$B32&amp;" EI'!$B$6:$B$53"),_xlfn.XLOOKUP($C$10,INDIRECT("'"&amp;$B32&amp;" EI'!$D$4:$Z$4"),INDIRECT("'"&amp;$B32&amp;" EI'!$D$6:$Z$53")))*_xlfn.XLOOKUP($B32&amp;F$15,'Gas Useage'!$A$4:$A$15&amp;'Gas Useage'!$B$4:$B$15,_xlfn.XLOOKUP($C32&amp;F$14,'Gas Useage'!$C$2:$AB$2&amp;'Gas Useage'!$C$3:$AB$3,'Gas Useage'!$C$4:$AB$15))/_xlfn.XLOOKUP($B32&amp;F$15,'Gas Useage'!$A$4:$A$15&amp;'Gas Useage'!$B$4:$B$15,_xlfn.XLOOKUP(F$14,'Gas Useage'!$AA$3:$AB$3,'Gas Useage'!$AA$4:$AB$15))</f>
        <v>0.86279519638285762</v>
      </c>
      <c r="G32" s="259" cm="1">
        <f t="array" aca="1" ref="G32" ca="1">_xlfn.XLOOKUP(G$13,INDIRECT("'"&amp;$B32&amp;" EI'!$B$6:$B$53"),_xlfn.XLOOKUP($C$10,INDIRECT("'"&amp;$B32&amp;" EI'!$D$4:$Z$4"),INDIRECT("'"&amp;$B32&amp;" EI'!$D$6:$Z$53")))*_xlfn.XLOOKUP($B32&amp;G$15,'Gas Useage'!$A$4:$A$15&amp;'Gas Useage'!$B$4:$B$15,_xlfn.XLOOKUP($C32&amp;G$14,'Gas Useage'!$C$2:$AB$2&amp;'Gas Useage'!$C$3:$AB$3,'Gas Useage'!$C$4:$AB$15))/_xlfn.XLOOKUP($B32&amp;G$15,'Gas Useage'!$A$4:$A$15&amp;'Gas Useage'!$B$4:$B$15,_xlfn.XLOOKUP(G$14,'Gas Useage'!$AA$3:$AB$3,'Gas Useage'!$AA$4:$AB$15))</f>
        <v>4.5248635983590926E-2</v>
      </c>
      <c r="H32" s="260" t="s">
        <v>278</v>
      </c>
      <c r="I32" s="260" t="s">
        <v>278</v>
      </c>
      <c r="J32" s="260" t="s">
        <v>278</v>
      </c>
      <c r="K32" s="261" t="s">
        <v>278</v>
      </c>
      <c r="N32" s="258"/>
    </row>
    <row r="33" spans="2:14" ht="13.5" x14ac:dyDescent="0.25">
      <c r="B33" s="32">
        <v>2021</v>
      </c>
      <c r="C33" s="494" t="s">
        <v>283</v>
      </c>
      <c r="D33" s="259" cm="1">
        <f t="array" aca="1" ref="D33" ca="1">_xlfn.XLOOKUP(D$13,INDIRECT("'"&amp;$B33&amp;" EI'!$B$6:$B$53"),_xlfn.XLOOKUP($C$10,INDIRECT("'"&amp;$B33&amp;" EI'!$D$4:$Z$4"),INDIRECT("'"&amp;$B33&amp;" EI'!$D$6:$Z$53")))*_xlfn.XLOOKUP($B33&amp;D$15,'Gas Useage'!$A$4:$A$15&amp;'Gas Useage'!$B$4:$B$15,_xlfn.XLOOKUP($C33&amp;D$14,'Gas Useage'!$C$2:$AB$2&amp;'Gas Useage'!$C$3:$AB$3,'Gas Useage'!$C$4:$AB$15))/_xlfn.XLOOKUP($B33&amp;D$15,'Gas Useage'!$A$4:$A$15&amp;'Gas Useage'!$B$4:$B$15,_xlfn.XLOOKUP(D$14,'Gas Useage'!$AA$3:$AB$3,'Gas Useage'!$AA$4:$AB$15))</f>
        <v>0.20298779911954734</v>
      </c>
      <c r="E33" s="259" cm="1">
        <f t="array" aca="1" ref="E33" ca="1">_xlfn.XLOOKUP(E$13,INDIRECT("'"&amp;$B33&amp;" EI'!$B$6:$B$53"),_xlfn.XLOOKUP($C$10,INDIRECT("'"&amp;$B33&amp;" EI'!$D$4:$Z$4"),INDIRECT("'"&amp;$B33&amp;" EI'!$D$6:$Z$53")))*_xlfn.XLOOKUP($B33&amp;E$15,'Gas Useage'!$A$4:$A$15&amp;'Gas Useage'!$B$4:$B$15,_xlfn.XLOOKUP($C33&amp;E$14,'Gas Useage'!$C$2:$AB$2&amp;'Gas Useage'!$C$3:$AB$3,'Gas Useage'!$C$4:$AB$15))/_xlfn.XLOOKUP($B33&amp;E$15,'Gas Useage'!$A$4:$A$15&amp;'Gas Useage'!$B$4:$B$15,_xlfn.XLOOKUP(E$14,'Gas Useage'!$AA$3:$AB$3,'Gas Useage'!$AA$4:$AB$15))</f>
        <v>8.0851418988138433E-3</v>
      </c>
      <c r="F33" s="259" cm="1">
        <f t="array" aca="1" ref="F33" ca="1">_xlfn.XLOOKUP(F$13,INDIRECT("'"&amp;$B33&amp;" EI'!$B$6:$B$53"),_xlfn.XLOOKUP($C$10,INDIRECT("'"&amp;$B33&amp;" EI'!$D$4:$Z$4"),INDIRECT("'"&amp;$B33&amp;" EI'!$D$6:$Z$53")))*_xlfn.XLOOKUP($B33&amp;F$15,'Gas Useage'!$A$4:$A$15&amp;'Gas Useage'!$B$4:$B$15,_xlfn.XLOOKUP($C33&amp;F$14,'Gas Useage'!$C$2:$AB$2&amp;'Gas Useage'!$C$3:$AB$3,'Gas Useage'!$C$4:$AB$15))/_xlfn.XLOOKUP($B33&amp;F$15,'Gas Useage'!$A$4:$A$15&amp;'Gas Useage'!$B$4:$B$15,_xlfn.XLOOKUP(F$14,'Gas Useage'!$AA$3:$AB$3,'Gas Useage'!$AA$4:$AB$15))</f>
        <v>0.41123073408481498</v>
      </c>
      <c r="G33" s="259" cm="1">
        <f t="array" aca="1" ref="G33" ca="1">_xlfn.XLOOKUP(G$13,INDIRECT("'"&amp;$B33&amp;" EI'!$B$6:$B$53"),_xlfn.XLOOKUP($C$10,INDIRECT("'"&amp;$B33&amp;" EI'!$D$4:$Z$4"),INDIRECT("'"&amp;$B33&amp;" EI'!$D$6:$Z$53")))*_xlfn.XLOOKUP($B33&amp;G$15,'Gas Useage'!$A$4:$A$15&amp;'Gas Useage'!$B$4:$B$15,_xlfn.XLOOKUP($C33&amp;G$14,'Gas Useage'!$C$2:$AB$2&amp;'Gas Useage'!$C$3:$AB$3,'Gas Useage'!$C$4:$AB$15))/_xlfn.XLOOKUP($B33&amp;G$15,'Gas Useage'!$A$4:$A$15&amp;'Gas Useage'!$B$4:$B$15,_xlfn.XLOOKUP(G$14,'Gas Useage'!$AA$3:$AB$3,'Gas Useage'!$AA$4:$AB$15))</f>
        <v>1.6379599427406841E-2</v>
      </c>
      <c r="H33" s="260" t="s">
        <v>278</v>
      </c>
      <c r="I33" s="260" t="s">
        <v>278</v>
      </c>
      <c r="J33" s="260" t="s">
        <v>278</v>
      </c>
      <c r="K33" s="261" t="s">
        <v>278</v>
      </c>
      <c r="N33" s="258"/>
    </row>
    <row r="34" spans="2:14" ht="13.5" x14ac:dyDescent="0.25">
      <c r="B34" s="32">
        <v>2021</v>
      </c>
      <c r="C34" s="494" t="s">
        <v>284</v>
      </c>
      <c r="D34" s="259" cm="1">
        <f t="array" aca="1" ref="D34" ca="1">_xlfn.XLOOKUP(D$13,INDIRECT("'"&amp;$B34&amp;" EI'!$B$6:$B$53"),_xlfn.XLOOKUP($C$10,INDIRECT("'"&amp;$B34&amp;" EI'!$D$4:$Z$4"),INDIRECT("'"&amp;$B34&amp;" EI'!$D$6:$Z$53")))*_xlfn.XLOOKUP($B34&amp;D$15,'Gas Useage'!$A$4:$A$15&amp;'Gas Useage'!$B$4:$B$15,_xlfn.XLOOKUP($C34&amp;D$14,'Gas Useage'!$C$2:$AB$2&amp;'Gas Useage'!$C$3:$AB$3,'Gas Useage'!$C$4:$AB$15))/_xlfn.XLOOKUP($B34&amp;D$15,'Gas Useage'!$A$4:$A$15&amp;'Gas Useage'!$B$4:$B$15,_xlfn.XLOOKUP(D$14,'Gas Useage'!$AA$3:$AB$3,'Gas Useage'!$AA$4:$AB$15))</f>
        <v>0.45386595588661643</v>
      </c>
      <c r="E34" s="259" cm="1">
        <f t="array" aca="1" ref="E34" ca="1">_xlfn.XLOOKUP(E$13,INDIRECT("'"&amp;$B34&amp;" EI'!$B$6:$B$53"),_xlfn.XLOOKUP($C$10,INDIRECT("'"&amp;$B34&amp;" EI'!$D$4:$Z$4"),INDIRECT("'"&amp;$B34&amp;" EI'!$D$6:$Z$53")))*_xlfn.XLOOKUP($B34&amp;E$15,'Gas Useage'!$A$4:$A$15&amp;'Gas Useage'!$B$4:$B$15,_xlfn.XLOOKUP($C34&amp;E$14,'Gas Useage'!$C$2:$AB$2&amp;'Gas Useage'!$C$3:$AB$3,'Gas Useage'!$C$4:$AB$15))/_xlfn.XLOOKUP($B34&amp;E$15,'Gas Useage'!$A$4:$A$15&amp;'Gas Useage'!$B$4:$B$15,_xlfn.XLOOKUP(E$14,'Gas Useage'!$AA$3:$AB$3,'Gas Useage'!$AA$4:$AB$15))</f>
        <v>1.3598248770301141E-2</v>
      </c>
      <c r="F34" s="259" cm="1">
        <f t="array" aca="1" ref="F34" ca="1">_xlfn.XLOOKUP(F$13,INDIRECT("'"&amp;$B34&amp;" EI'!$B$6:$B$53"),_xlfn.XLOOKUP($C$10,INDIRECT("'"&amp;$B34&amp;" EI'!$D$4:$Z$4"),INDIRECT("'"&amp;$B34&amp;" EI'!$D$6:$Z$53")))*_xlfn.XLOOKUP($B34&amp;F$15,'Gas Useage'!$A$4:$A$15&amp;'Gas Useage'!$B$4:$B$15,_xlfn.XLOOKUP($C34&amp;F$14,'Gas Useage'!$C$2:$AB$2&amp;'Gas Useage'!$C$3:$AB$3,'Gas Useage'!$C$4:$AB$15))/_xlfn.XLOOKUP($B34&amp;F$15,'Gas Useage'!$A$4:$A$15&amp;'Gas Useage'!$B$4:$B$15,_xlfn.XLOOKUP(F$14,'Gas Useage'!$AA$3:$AB$3,'Gas Useage'!$AA$4:$AB$15))</f>
        <v>0.507059669196401</v>
      </c>
      <c r="G34" s="259" cm="1">
        <f t="array" aca="1" ref="G34" ca="1">_xlfn.XLOOKUP(G$13,INDIRECT("'"&amp;$B34&amp;" EI'!$B$6:$B$53"),_xlfn.XLOOKUP($C$10,INDIRECT("'"&amp;$B34&amp;" EI'!$D$4:$Z$4"),INDIRECT("'"&amp;$B34&amp;" EI'!$D$6:$Z$53")))*_xlfn.XLOOKUP($B34&amp;G$15,'Gas Useage'!$A$4:$A$15&amp;'Gas Useage'!$B$4:$B$15,_xlfn.XLOOKUP($C34&amp;G$14,'Gas Useage'!$C$2:$AB$2&amp;'Gas Useage'!$C$3:$AB$3,'Gas Useage'!$C$4:$AB$15))/_xlfn.XLOOKUP($B34&amp;G$15,'Gas Useage'!$A$4:$A$15&amp;'Gas Useage'!$B$4:$B$15,_xlfn.XLOOKUP(G$14,'Gas Useage'!$AA$3:$AB$3,'Gas Useage'!$AA$4:$AB$15))</f>
        <v>1.519198220022871E-2</v>
      </c>
      <c r="H34" s="260" t="s">
        <v>278</v>
      </c>
      <c r="I34" s="260" t="s">
        <v>278</v>
      </c>
      <c r="J34" s="260" t="s">
        <v>278</v>
      </c>
      <c r="K34" s="261" t="s">
        <v>278</v>
      </c>
      <c r="N34" s="258"/>
    </row>
    <row r="35" spans="2:14" ht="13.5" x14ac:dyDescent="0.25">
      <c r="B35" s="32">
        <v>2021</v>
      </c>
      <c r="C35" s="494" t="s">
        <v>285</v>
      </c>
      <c r="D35" s="259" cm="1">
        <f t="array" aca="1" ref="D35" ca="1">_xlfn.XLOOKUP(D$13,INDIRECT("'"&amp;$B35&amp;" EI'!$B$6:$B$53"),_xlfn.XLOOKUP($C$10,INDIRECT("'"&amp;$B35&amp;" EI'!$D$4:$Z$4"),INDIRECT("'"&amp;$B35&amp;" EI'!$D$6:$Z$53")))*_xlfn.XLOOKUP($B35&amp;D$15,'Gas Useage'!$A$4:$A$15&amp;'Gas Useage'!$B$4:$B$15,_xlfn.XLOOKUP($C35&amp;D$14,'Gas Useage'!$C$2:$AB$2&amp;'Gas Useage'!$C$3:$AB$3,'Gas Useage'!$C$4:$AB$15))/_xlfn.XLOOKUP($B35&amp;D$15,'Gas Useage'!$A$4:$A$15&amp;'Gas Useage'!$B$4:$B$15,_xlfn.XLOOKUP(D$14,'Gas Useage'!$AA$3:$AB$3,'Gas Useage'!$AA$4:$AB$15))</f>
        <v>0.54718371675693755</v>
      </c>
      <c r="E35" s="259" cm="1">
        <f t="array" aca="1" ref="E35" ca="1">_xlfn.XLOOKUP(E$13,INDIRECT("'"&amp;$B35&amp;" EI'!$B$6:$B$53"),_xlfn.XLOOKUP($C$10,INDIRECT("'"&amp;$B35&amp;" EI'!$D$4:$Z$4"),INDIRECT("'"&amp;$B35&amp;" EI'!$D$6:$Z$53")))*_xlfn.XLOOKUP($B35&amp;E$15,'Gas Useage'!$A$4:$A$15&amp;'Gas Useage'!$B$4:$B$15,_xlfn.XLOOKUP($C35&amp;E$14,'Gas Useage'!$C$2:$AB$2&amp;'Gas Useage'!$C$3:$AB$3,'Gas Useage'!$C$4:$AB$15))/_xlfn.XLOOKUP($B35&amp;E$15,'Gas Useage'!$A$4:$A$15&amp;'Gas Useage'!$B$4:$B$15,_xlfn.XLOOKUP(E$14,'Gas Useage'!$AA$3:$AB$3,'Gas Useage'!$AA$4:$AB$15))</f>
        <v>4.5458824910750109E-2</v>
      </c>
      <c r="F35" s="259" cm="1">
        <f t="array" aca="1" ref="F35" ca="1">_xlfn.XLOOKUP(F$13,INDIRECT("'"&amp;$B35&amp;" EI'!$B$6:$B$53"),_xlfn.XLOOKUP($C$10,INDIRECT("'"&amp;$B35&amp;" EI'!$D$4:$Z$4"),INDIRECT("'"&amp;$B35&amp;" EI'!$D$6:$Z$53")))*_xlfn.XLOOKUP($B35&amp;F$15,'Gas Useage'!$A$4:$A$15&amp;'Gas Useage'!$B$4:$B$15,_xlfn.XLOOKUP($C35&amp;F$14,'Gas Useage'!$C$2:$AB$2&amp;'Gas Useage'!$C$3:$AB$3,'Gas Useage'!$C$4:$AB$15))/_xlfn.XLOOKUP($B35&amp;F$15,'Gas Useage'!$A$4:$A$15&amp;'Gas Useage'!$B$4:$B$15,_xlfn.XLOOKUP(F$14,'Gas Useage'!$AA$3:$AB$3,'Gas Useage'!$AA$4:$AB$15))</f>
        <v>0.46667470770904668</v>
      </c>
      <c r="G35" s="259" cm="1">
        <f t="array" aca="1" ref="G35" ca="1">_xlfn.XLOOKUP(G$13,INDIRECT("'"&amp;$B35&amp;" EI'!$B$6:$B$53"),_xlfn.XLOOKUP($C$10,INDIRECT("'"&amp;$B35&amp;" EI'!$D$4:$Z$4"),INDIRECT("'"&amp;$B35&amp;" EI'!$D$6:$Z$53")))*_xlfn.XLOOKUP($B35&amp;G$15,'Gas Useage'!$A$4:$A$15&amp;'Gas Useage'!$B$4:$B$15,_xlfn.XLOOKUP($C35&amp;G$14,'Gas Useage'!$C$2:$AB$2&amp;'Gas Useage'!$C$3:$AB$3,'Gas Useage'!$C$4:$AB$15))/_xlfn.XLOOKUP($B35&amp;G$15,'Gas Useage'!$A$4:$A$15&amp;'Gas Useage'!$B$4:$B$15,_xlfn.XLOOKUP(G$14,'Gas Useage'!$AA$3:$AB$3,'Gas Useage'!$AA$4:$AB$15))</f>
        <v>3.8770312745700086E-2</v>
      </c>
      <c r="H35" s="260" t="s">
        <v>278</v>
      </c>
      <c r="I35" s="260" t="s">
        <v>278</v>
      </c>
      <c r="J35" s="260" t="s">
        <v>278</v>
      </c>
      <c r="K35" s="261" t="s">
        <v>278</v>
      </c>
      <c r="N35" s="258"/>
    </row>
    <row r="36" spans="2:14" ht="13.5" x14ac:dyDescent="0.25">
      <c r="B36" s="32">
        <v>2021</v>
      </c>
      <c r="C36" s="494" t="s">
        <v>286</v>
      </c>
      <c r="D36" s="259" cm="1">
        <f t="array" aca="1" ref="D36" ca="1">_xlfn.XLOOKUP(D$13,INDIRECT("'"&amp;$B36&amp;" EI'!$B$6:$B$53"),_xlfn.XLOOKUP($C$10,INDIRECT("'"&amp;$B36&amp;" EI'!$D$4:$Z$4"),INDIRECT("'"&amp;$B36&amp;" EI'!$D$6:$Z$53")))*_xlfn.XLOOKUP($B36&amp;D$15,'Gas Useage'!$A$4:$A$15&amp;'Gas Useage'!$B$4:$B$15,_xlfn.XLOOKUP($C36&amp;D$14,'Gas Useage'!$C$2:$AB$2&amp;'Gas Useage'!$C$3:$AB$3,'Gas Useage'!$C$4:$AB$15))/_xlfn.XLOOKUP($B36&amp;D$15,'Gas Useage'!$A$4:$A$15&amp;'Gas Useage'!$B$4:$B$15,_xlfn.XLOOKUP(D$14,'Gas Useage'!$AA$3:$AB$3,'Gas Useage'!$AA$4:$AB$15))</f>
        <v>0.32739812050798217</v>
      </c>
      <c r="E36" s="259" cm="1">
        <f t="array" aca="1" ref="E36" ca="1">_xlfn.XLOOKUP(E$13,INDIRECT("'"&amp;$B36&amp;" EI'!$B$6:$B$53"),_xlfn.XLOOKUP($C$10,INDIRECT("'"&amp;$B36&amp;" EI'!$D$4:$Z$4"),INDIRECT("'"&amp;$B36&amp;" EI'!$D$6:$Z$53")))*_xlfn.XLOOKUP($B36&amp;E$15,'Gas Useage'!$A$4:$A$15&amp;'Gas Useage'!$B$4:$B$15,_xlfn.XLOOKUP($C36&amp;E$14,'Gas Useage'!$C$2:$AB$2&amp;'Gas Useage'!$C$3:$AB$3,'Gas Useage'!$C$4:$AB$15))/_xlfn.XLOOKUP($B36&amp;E$15,'Gas Useage'!$A$4:$A$15&amp;'Gas Useage'!$B$4:$B$15,_xlfn.XLOOKUP(E$14,'Gas Useage'!$AA$3:$AB$3,'Gas Useage'!$AA$4:$AB$15))</f>
        <v>2.4356524025490708E-2</v>
      </c>
      <c r="F36" s="259" cm="1">
        <f t="array" aca="1" ref="F36" ca="1">_xlfn.XLOOKUP(F$13,INDIRECT("'"&amp;$B36&amp;" EI'!$B$6:$B$53"),_xlfn.XLOOKUP($C$10,INDIRECT("'"&amp;$B36&amp;" EI'!$D$4:$Z$4"),INDIRECT("'"&amp;$B36&amp;" EI'!$D$6:$Z$53")))*_xlfn.XLOOKUP($B36&amp;F$15,'Gas Useage'!$A$4:$A$15&amp;'Gas Useage'!$B$4:$B$15,_xlfn.XLOOKUP($C36&amp;F$14,'Gas Useage'!$C$2:$AB$2&amp;'Gas Useage'!$C$3:$AB$3,'Gas Useage'!$C$4:$AB$15))/_xlfn.XLOOKUP($B36&amp;F$15,'Gas Useage'!$A$4:$A$15&amp;'Gas Useage'!$B$4:$B$15,_xlfn.XLOOKUP(F$14,'Gas Useage'!$AA$3:$AB$3,'Gas Useage'!$AA$4:$AB$15))</f>
        <v>0.26076109830890831</v>
      </c>
      <c r="G36" s="259" cm="1">
        <f t="array" aca="1" ref="G36" ca="1">_xlfn.XLOOKUP(G$13,INDIRECT("'"&amp;$B36&amp;" EI'!$B$6:$B$53"),_xlfn.XLOOKUP($C$10,INDIRECT("'"&amp;$B36&amp;" EI'!$D$4:$Z$4"),INDIRECT("'"&amp;$B36&amp;" EI'!$D$6:$Z$53")))*_xlfn.XLOOKUP($B36&amp;G$15,'Gas Useage'!$A$4:$A$15&amp;'Gas Useage'!$B$4:$B$15,_xlfn.XLOOKUP($C36&amp;G$14,'Gas Useage'!$C$2:$AB$2&amp;'Gas Useage'!$C$3:$AB$3,'Gas Useage'!$C$4:$AB$15))/_xlfn.XLOOKUP($B36&amp;G$15,'Gas Useage'!$A$4:$A$15&amp;'Gas Useage'!$B$4:$B$15,_xlfn.XLOOKUP(G$14,'Gas Useage'!$AA$3:$AB$3,'Gas Useage'!$AA$4:$AB$15))</f>
        <v>1.9399115505061137E-2</v>
      </c>
      <c r="H36" s="260" t="s">
        <v>278</v>
      </c>
      <c r="I36" s="260" t="s">
        <v>278</v>
      </c>
      <c r="J36" s="260" t="s">
        <v>278</v>
      </c>
      <c r="K36" s="261" t="s">
        <v>278</v>
      </c>
      <c r="N36" s="258"/>
    </row>
    <row r="37" spans="2:14" ht="13.5" x14ac:dyDescent="0.25">
      <c r="B37" s="32">
        <v>2021</v>
      </c>
      <c r="C37" s="494" t="s">
        <v>287</v>
      </c>
      <c r="D37" s="259" cm="1">
        <f t="array" aca="1" ref="D37" ca="1">_xlfn.XLOOKUP(D$13,INDIRECT("'"&amp;$B37&amp;" EI'!$B$6:$B$53"),_xlfn.XLOOKUP($C$10,INDIRECT("'"&amp;$B37&amp;" EI'!$D$4:$Z$4"),INDIRECT("'"&amp;$B37&amp;" EI'!$D$6:$Z$53")))*_xlfn.XLOOKUP($B37&amp;D$15,'Gas Useage'!$A$4:$A$15&amp;'Gas Useage'!$B$4:$B$15,_xlfn.XLOOKUP($C37&amp;D$14,'Gas Useage'!$C$2:$AB$2&amp;'Gas Useage'!$C$3:$AB$3,'Gas Useage'!$C$4:$AB$15))/_xlfn.XLOOKUP($B37&amp;D$15,'Gas Useage'!$A$4:$A$15&amp;'Gas Useage'!$B$4:$B$15,_xlfn.XLOOKUP(D$14,'Gas Useage'!$AA$3:$AB$3,'Gas Useage'!$AA$4:$AB$15))</f>
        <v>0.34982875460747859</v>
      </c>
      <c r="E37" s="259" cm="1">
        <f t="array" aca="1" ref="E37" ca="1">_xlfn.XLOOKUP(E$13,INDIRECT("'"&amp;$B37&amp;" EI'!$B$6:$B$53"),_xlfn.XLOOKUP($C$10,INDIRECT("'"&amp;$B37&amp;" EI'!$D$4:$Z$4"),INDIRECT("'"&amp;$B37&amp;" EI'!$D$6:$Z$53")))*_xlfn.XLOOKUP($B37&amp;E$15,'Gas Useage'!$A$4:$A$15&amp;'Gas Useage'!$B$4:$B$15,_xlfn.XLOOKUP($C37&amp;E$14,'Gas Useage'!$C$2:$AB$2&amp;'Gas Useage'!$C$3:$AB$3,'Gas Useage'!$C$4:$AB$15))/_xlfn.XLOOKUP($B37&amp;E$15,'Gas Useage'!$A$4:$A$15&amp;'Gas Useage'!$B$4:$B$15,_xlfn.XLOOKUP(E$14,'Gas Useage'!$AA$3:$AB$3,'Gas Useage'!$AA$4:$AB$15))</f>
        <v>2.3221504443654194E-2</v>
      </c>
      <c r="F37" s="259" cm="1">
        <f t="array" aca="1" ref="F37" ca="1">_xlfn.XLOOKUP(F$13,INDIRECT("'"&amp;$B37&amp;" EI'!$B$6:$B$53"),_xlfn.XLOOKUP($C$10,INDIRECT("'"&amp;$B37&amp;" EI'!$D$4:$Z$4"),INDIRECT("'"&amp;$B37&amp;" EI'!$D$6:$Z$53")))*_xlfn.XLOOKUP($B37&amp;F$15,'Gas Useage'!$A$4:$A$15&amp;'Gas Useage'!$B$4:$B$15,_xlfn.XLOOKUP($C37&amp;F$14,'Gas Useage'!$C$2:$AB$2&amp;'Gas Useage'!$C$3:$AB$3,'Gas Useage'!$C$4:$AB$15))/_xlfn.XLOOKUP($B37&amp;F$15,'Gas Useage'!$A$4:$A$15&amp;'Gas Useage'!$B$4:$B$15,_xlfn.XLOOKUP(F$14,'Gas Useage'!$AA$3:$AB$3,'Gas Useage'!$AA$4:$AB$15))</f>
        <v>0.28488816811680845</v>
      </c>
      <c r="G37" s="259" cm="1">
        <f t="array" aca="1" ref="G37" ca="1">_xlfn.XLOOKUP(G$13,INDIRECT("'"&amp;$B37&amp;" EI'!$B$6:$B$53"),_xlfn.XLOOKUP($C$10,INDIRECT("'"&amp;$B37&amp;" EI'!$D$4:$Z$4"),INDIRECT("'"&amp;$B37&amp;" EI'!$D$6:$Z$53")))*_xlfn.XLOOKUP($B37&amp;G$15,'Gas Useage'!$A$4:$A$15&amp;'Gas Useage'!$B$4:$B$15,_xlfn.XLOOKUP($C37&amp;G$14,'Gas Useage'!$C$2:$AB$2&amp;'Gas Useage'!$C$3:$AB$3,'Gas Useage'!$C$4:$AB$15))/_xlfn.XLOOKUP($B37&amp;G$15,'Gas Useage'!$A$4:$A$15&amp;'Gas Useage'!$B$4:$B$15,_xlfn.XLOOKUP(G$14,'Gas Useage'!$AA$3:$AB$3,'Gas Useage'!$AA$4:$AB$15))</f>
        <v>1.8910772127042147E-2</v>
      </c>
      <c r="H37" s="260" t="s">
        <v>278</v>
      </c>
      <c r="I37" s="260" t="s">
        <v>278</v>
      </c>
      <c r="J37" s="260" t="s">
        <v>278</v>
      </c>
      <c r="K37" s="261" t="s">
        <v>278</v>
      </c>
      <c r="N37" s="258"/>
    </row>
    <row r="38" spans="2:14" ht="13.5" x14ac:dyDescent="0.25">
      <c r="B38" s="32">
        <v>2021</v>
      </c>
      <c r="C38" s="494" t="s">
        <v>288</v>
      </c>
      <c r="D38" s="259" cm="1">
        <f t="array" aca="1" ref="D38" ca="1">_xlfn.XLOOKUP(D$13,INDIRECT("'"&amp;$B38&amp;" EI'!$B$6:$B$53"),_xlfn.XLOOKUP($C$10,INDIRECT("'"&amp;$B38&amp;" EI'!$D$4:$Z$4"),INDIRECT("'"&amp;$B38&amp;" EI'!$D$6:$Z$53")))*_xlfn.XLOOKUP($B38&amp;D$15,'Gas Useage'!$A$4:$A$15&amp;'Gas Useage'!$B$4:$B$15,_xlfn.XLOOKUP($C38&amp;D$14,'Gas Useage'!$C$2:$AB$2&amp;'Gas Useage'!$C$3:$AB$3,'Gas Useage'!$C$4:$AB$15))/_xlfn.XLOOKUP($B38&amp;D$15,'Gas Useage'!$A$4:$A$15&amp;'Gas Useage'!$B$4:$B$15,_xlfn.XLOOKUP(D$14,'Gas Useage'!$AA$3:$AB$3,'Gas Useage'!$AA$4:$AB$15))</f>
        <v>1.1022720259022833</v>
      </c>
      <c r="E38" s="259" cm="1">
        <f t="array" aca="1" ref="E38" ca="1">_xlfn.XLOOKUP(E$13,INDIRECT("'"&amp;$B38&amp;" EI'!$B$6:$B$53"),_xlfn.XLOOKUP($C$10,INDIRECT("'"&amp;$B38&amp;" EI'!$D$4:$Z$4"),INDIRECT("'"&amp;$B38&amp;" EI'!$D$6:$Z$53")))*_xlfn.XLOOKUP($B38&amp;E$15,'Gas Useage'!$A$4:$A$15&amp;'Gas Useage'!$B$4:$B$15,_xlfn.XLOOKUP($C38&amp;E$14,'Gas Useage'!$C$2:$AB$2&amp;'Gas Useage'!$C$3:$AB$3,'Gas Useage'!$C$4:$AB$15))/_xlfn.XLOOKUP($B38&amp;E$15,'Gas Useage'!$A$4:$A$15&amp;'Gas Useage'!$B$4:$B$15,_xlfn.XLOOKUP(E$14,'Gas Useage'!$AA$3:$AB$3,'Gas Useage'!$AA$4:$AB$15))</f>
        <v>0.10994916483012485</v>
      </c>
      <c r="F38" s="259" cm="1">
        <f t="array" aca="1" ref="F38" ca="1">_xlfn.XLOOKUP(F$13,INDIRECT("'"&amp;$B38&amp;" EI'!$B$6:$B$53"),_xlfn.XLOOKUP($C$10,INDIRECT("'"&amp;$B38&amp;" EI'!$D$4:$Z$4"),INDIRECT("'"&amp;$B38&amp;" EI'!$D$6:$Z$53")))*_xlfn.XLOOKUP($B38&amp;F$15,'Gas Useage'!$A$4:$A$15&amp;'Gas Useage'!$B$4:$B$15,_xlfn.XLOOKUP($C38&amp;F$14,'Gas Useage'!$C$2:$AB$2&amp;'Gas Useage'!$C$3:$AB$3,'Gas Useage'!$C$4:$AB$15))/_xlfn.XLOOKUP($B38&amp;F$15,'Gas Useage'!$A$4:$A$15&amp;'Gas Useage'!$B$4:$B$15,_xlfn.XLOOKUP(F$14,'Gas Useage'!$AA$3:$AB$3,'Gas Useage'!$AA$4:$AB$15))</f>
        <v>1.0044510769414716</v>
      </c>
      <c r="G38" s="259" cm="1">
        <f t="array" aca="1" ref="G38" ca="1">_xlfn.XLOOKUP(G$13,INDIRECT("'"&amp;$B38&amp;" EI'!$B$6:$B$53"),_xlfn.XLOOKUP($C$10,INDIRECT("'"&amp;$B38&amp;" EI'!$D$4:$Z$4"),INDIRECT("'"&amp;$B38&amp;" EI'!$D$6:$Z$53")))*_xlfn.XLOOKUP($B38&amp;G$15,'Gas Useage'!$A$4:$A$15&amp;'Gas Useage'!$B$4:$B$15,_xlfn.XLOOKUP($C38&amp;G$14,'Gas Useage'!$C$2:$AB$2&amp;'Gas Useage'!$C$3:$AB$3,'Gas Useage'!$C$4:$AB$15))/_xlfn.XLOOKUP($B38&amp;G$15,'Gas Useage'!$A$4:$A$15&amp;'Gas Useage'!$B$4:$B$15,_xlfn.XLOOKUP(G$14,'Gas Useage'!$AA$3:$AB$3,'Gas Useage'!$AA$4:$AB$15))</f>
        <v>0.10019174434916188</v>
      </c>
      <c r="H38" s="260" t="s">
        <v>278</v>
      </c>
      <c r="I38" s="260" t="s">
        <v>278</v>
      </c>
      <c r="J38" s="260" t="s">
        <v>278</v>
      </c>
      <c r="K38" s="261" t="s">
        <v>278</v>
      </c>
      <c r="N38" s="258"/>
    </row>
    <row r="39" spans="2:14" ht="13.5" x14ac:dyDescent="0.25">
      <c r="B39" s="32">
        <v>2021</v>
      </c>
      <c r="C39" s="494" t="s">
        <v>289</v>
      </c>
      <c r="D39" s="259" cm="1">
        <f t="array" aca="1" ref="D39" ca="1">_xlfn.XLOOKUP(D$13,INDIRECT("'"&amp;$B39&amp;" EI'!$B$6:$B$53"),_xlfn.XLOOKUP($C$10,INDIRECT("'"&amp;$B39&amp;" EI'!$D$4:$Z$4"),INDIRECT("'"&amp;$B39&amp;" EI'!$D$6:$Z$53")))*_xlfn.XLOOKUP($B39&amp;D$15,'Gas Useage'!$A$4:$A$15&amp;'Gas Useage'!$B$4:$B$15,_xlfn.XLOOKUP($C39&amp;D$14,'Gas Useage'!$C$2:$AB$2&amp;'Gas Useage'!$C$3:$AB$3,'Gas Useage'!$C$4:$AB$15))/_xlfn.XLOOKUP($B39&amp;D$15,'Gas Useage'!$A$4:$A$15&amp;'Gas Useage'!$B$4:$B$15,_xlfn.XLOOKUP(D$14,'Gas Useage'!$AA$3:$AB$3,'Gas Useage'!$AA$4:$AB$15))</f>
        <v>0.66122991038442924</v>
      </c>
      <c r="E39" s="259" cm="1">
        <f t="array" aca="1" ref="E39" ca="1">_xlfn.XLOOKUP(E$13,INDIRECT("'"&amp;$B39&amp;" EI'!$B$6:$B$53"),_xlfn.XLOOKUP($C$10,INDIRECT("'"&amp;$B39&amp;" EI'!$D$4:$Z$4"),INDIRECT("'"&amp;$B39&amp;" EI'!$D$6:$Z$53")))*_xlfn.XLOOKUP($B39&amp;E$15,'Gas Useage'!$A$4:$A$15&amp;'Gas Useage'!$B$4:$B$15,_xlfn.XLOOKUP($C39&amp;E$14,'Gas Useage'!$C$2:$AB$2&amp;'Gas Useage'!$C$3:$AB$3,'Gas Useage'!$C$4:$AB$15))/_xlfn.XLOOKUP($B39&amp;E$15,'Gas Useage'!$A$4:$A$15&amp;'Gas Useage'!$B$4:$B$15,_xlfn.XLOOKUP(E$14,'Gas Useage'!$AA$3:$AB$3,'Gas Useage'!$AA$4:$AB$15))</f>
        <v>6.3101646529963487E-2</v>
      </c>
      <c r="F39" s="259" cm="1">
        <f t="array" aca="1" ref="F39" ca="1">_xlfn.XLOOKUP(F$13,INDIRECT("'"&amp;$B39&amp;" EI'!$B$6:$B$53"),_xlfn.XLOOKUP($C$10,INDIRECT("'"&amp;$B39&amp;" EI'!$D$4:$Z$4"),INDIRECT("'"&amp;$B39&amp;" EI'!$D$6:$Z$53")))*_xlfn.XLOOKUP($B39&amp;F$15,'Gas Useage'!$A$4:$A$15&amp;'Gas Useage'!$B$4:$B$15,_xlfn.XLOOKUP($C39&amp;F$14,'Gas Useage'!$C$2:$AB$2&amp;'Gas Useage'!$C$3:$AB$3,'Gas Useage'!$C$4:$AB$15))/_xlfn.XLOOKUP($B39&amp;F$15,'Gas Useage'!$A$4:$A$15&amp;'Gas Useage'!$B$4:$B$15,_xlfn.XLOOKUP(F$14,'Gas Useage'!$AA$3:$AB$3,'Gas Useage'!$AA$4:$AB$15))</f>
        <v>0.64225631180811849</v>
      </c>
      <c r="G39" s="259" cm="1">
        <f t="array" aca="1" ref="G39" ca="1">_xlfn.XLOOKUP(G$13,INDIRECT("'"&amp;$B39&amp;" EI'!$B$6:$B$53"),_xlfn.XLOOKUP($C$10,INDIRECT("'"&amp;$B39&amp;" EI'!$D$4:$Z$4"),INDIRECT("'"&amp;$B39&amp;" EI'!$D$6:$Z$53")))*_xlfn.XLOOKUP($B39&amp;G$15,'Gas Useage'!$A$4:$A$15&amp;'Gas Useage'!$B$4:$B$15,_xlfn.XLOOKUP($C39&amp;G$14,'Gas Useage'!$C$2:$AB$2&amp;'Gas Useage'!$C$3:$AB$3,'Gas Useage'!$C$4:$AB$15))/_xlfn.XLOOKUP($B39&amp;G$15,'Gas Useage'!$A$4:$A$15&amp;'Gas Useage'!$B$4:$B$15,_xlfn.XLOOKUP(G$14,'Gas Useage'!$AA$3:$AB$3,'Gas Useage'!$AA$4:$AB$15))</f>
        <v>6.1290982354067838E-2</v>
      </c>
      <c r="H39" s="260" t="s">
        <v>278</v>
      </c>
      <c r="I39" s="260" t="s">
        <v>278</v>
      </c>
      <c r="J39" s="260" t="s">
        <v>278</v>
      </c>
      <c r="K39" s="261" t="s">
        <v>278</v>
      </c>
      <c r="N39" s="258"/>
    </row>
    <row r="40" spans="2:14" ht="13.5" x14ac:dyDescent="0.25">
      <c r="B40" s="32">
        <v>2022</v>
      </c>
      <c r="C40" s="494" t="s">
        <v>277</v>
      </c>
      <c r="D40" s="259" cm="1">
        <f t="array" aca="1" ref="D40" ca="1">_xlfn.XLOOKUP(D$13,INDIRECT("'"&amp;$B40&amp;" EI'!$B$6:$B$53"),_xlfn.XLOOKUP($C$10,INDIRECT("'"&amp;$B40&amp;" EI'!$D$4:$Z$4"),INDIRECT("'"&amp;$B40&amp;" EI'!$D$6:$Z$53")))*_xlfn.XLOOKUP($B40&amp;D$15,'Gas Useage'!$A$4:$A$15&amp;'Gas Useage'!$B$4:$B$15,_xlfn.XLOOKUP($C40&amp;D$14,'Gas Useage'!$C$2:$AB$2&amp;'Gas Useage'!$C$3:$AB$3,'Gas Useage'!$C$4:$AB$15))/_xlfn.XLOOKUP($B40&amp;D$15,'Gas Useage'!$A$4:$A$15&amp;'Gas Useage'!$B$4:$B$15,_xlfn.XLOOKUP(D$14,'Gas Useage'!$AA$3:$AB$3,'Gas Useage'!$AA$4:$AB$15))</f>
        <v>0.70570003637811085</v>
      </c>
      <c r="E40" s="259" cm="1">
        <f t="array" aca="1" ref="E40" ca="1">_xlfn.XLOOKUP(E$13,INDIRECT("'"&amp;$B40&amp;" EI'!$B$6:$B$53"),_xlfn.XLOOKUP($C$10,INDIRECT("'"&amp;$B40&amp;" EI'!$D$4:$Z$4"),INDIRECT("'"&amp;$B40&amp;" EI'!$D$6:$Z$53")))*_xlfn.XLOOKUP($B40&amp;E$15,'Gas Useage'!$A$4:$A$15&amp;'Gas Useage'!$B$4:$B$15,_xlfn.XLOOKUP($C40&amp;E$14,'Gas Useage'!$C$2:$AB$2&amp;'Gas Useage'!$C$3:$AB$3,'Gas Useage'!$C$4:$AB$15))/_xlfn.XLOOKUP($B40&amp;E$15,'Gas Useage'!$A$4:$A$15&amp;'Gas Useage'!$B$4:$B$15,_xlfn.XLOOKUP(E$14,'Gas Useage'!$AA$3:$AB$3,'Gas Useage'!$AA$4:$AB$15))</f>
        <v>8.9383309916241424E-2</v>
      </c>
      <c r="F40" s="259" cm="1">
        <f t="array" aca="1" ref="F40" ca="1">_xlfn.XLOOKUP(F$13,INDIRECT("'"&amp;$B40&amp;" EI'!$B$6:$B$53"),_xlfn.XLOOKUP($C$10,INDIRECT("'"&amp;$B40&amp;" EI'!$D$4:$Z$4"),INDIRECT("'"&amp;$B40&amp;" EI'!$D$6:$Z$53")))*_xlfn.XLOOKUP($B40&amp;F$15,'Gas Useage'!$A$4:$A$15&amp;'Gas Useage'!$B$4:$B$15,_xlfn.XLOOKUP($C40&amp;F$14,'Gas Useage'!$C$2:$AB$2&amp;'Gas Useage'!$C$3:$AB$3,'Gas Useage'!$C$4:$AB$15))/_xlfn.XLOOKUP($B40&amp;F$15,'Gas Useage'!$A$4:$A$15&amp;'Gas Useage'!$B$4:$B$15,_xlfn.XLOOKUP(F$14,'Gas Useage'!$AA$3:$AB$3,'Gas Useage'!$AA$4:$AB$15))</f>
        <v>0.62749129114150393</v>
      </c>
      <c r="G40" s="259" cm="1">
        <f t="array" aca="1" ref="G40" ca="1">_xlfn.XLOOKUP(G$13,INDIRECT("'"&amp;$B40&amp;" EI'!$B$6:$B$53"),_xlfn.XLOOKUP($C$10,INDIRECT("'"&amp;$B40&amp;" EI'!$D$4:$Z$4"),INDIRECT("'"&amp;$B40&amp;" EI'!$D$6:$Z$53")))*_xlfn.XLOOKUP($B40&amp;G$15,'Gas Useage'!$A$4:$A$15&amp;'Gas Useage'!$B$4:$B$15,_xlfn.XLOOKUP($C40&amp;G$14,'Gas Useage'!$C$2:$AB$2&amp;'Gas Useage'!$C$3:$AB$3,'Gas Useage'!$C$4:$AB$15))/_xlfn.XLOOKUP($B40&amp;G$15,'Gas Useage'!$A$4:$A$15&amp;'Gas Useage'!$B$4:$B$15,_xlfn.XLOOKUP(G$14,'Gas Useage'!$AA$3:$AB$3,'Gas Useage'!$AA$4:$AB$15))</f>
        <v>7.9477463021969064E-2</v>
      </c>
      <c r="H40" s="260" t="s">
        <v>278</v>
      </c>
      <c r="I40" s="260" t="s">
        <v>278</v>
      </c>
      <c r="J40" s="260" t="s">
        <v>278</v>
      </c>
      <c r="K40" s="261" t="s">
        <v>278</v>
      </c>
      <c r="N40" s="258"/>
    </row>
    <row r="41" spans="2:14" ht="13.5" x14ac:dyDescent="0.25">
      <c r="B41" s="32">
        <v>2022</v>
      </c>
      <c r="C41" s="494" t="s">
        <v>279</v>
      </c>
      <c r="D41" s="259" cm="1">
        <f t="array" aca="1" ref="D41" ca="1">_xlfn.XLOOKUP(D$13,INDIRECT("'"&amp;$B41&amp;" EI'!$B$6:$B$53"),_xlfn.XLOOKUP($C$10,INDIRECT("'"&amp;$B41&amp;" EI'!$D$4:$Z$4"),INDIRECT("'"&amp;$B41&amp;" EI'!$D$6:$Z$53")))*_xlfn.XLOOKUP($B41&amp;D$15,'Gas Useage'!$A$4:$A$15&amp;'Gas Useage'!$B$4:$B$15,_xlfn.XLOOKUP($C41&amp;D$14,'Gas Useage'!$C$2:$AB$2&amp;'Gas Useage'!$C$3:$AB$3,'Gas Useage'!$C$4:$AB$15))/_xlfn.XLOOKUP($B41&amp;D$15,'Gas Useage'!$A$4:$A$15&amp;'Gas Useage'!$B$4:$B$15,_xlfn.XLOOKUP(D$14,'Gas Useage'!$AA$3:$AB$3,'Gas Useage'!$AA$4:$AB$15))</f>
        <v>0.67270521140769612</v>
      </c>
      <c r="E41" s="259" cm="1">
        <f t="array" aca="1" ref="E41" ca="1">_xlfn.XLOOKUP(E$13,INDIRECT("'"&amp;$B41&amp;" EI'!$B$6:$B$53"),_xlfn.XLOOKUP($C$10,INDIRECT("'"&amp;$B41&amp;" EI'!$D$4:$Z$4"),INDIRECT("'"&amp;$B41&amp;" EI'!$D$6:$Z$53")))*_xlfn.XLOOKUP($B41&amp;E$15,'Gas Useage'!$A$4:$A$15&amp;'Gas Useage'!$B$4:$B$15,_xlfn.XLOOKUP($C41&amp;E$14,'Gas Useage'!$C$2:$AB$2&amp;'Gas Useage'!$C$3:$AB$3,'Gas Useage'!$C$4:$AB$15))/_xlfn.XLOOKUP($B41&amp;E$15,'Gas Useage'!$A$4:$A$15&amp;'Gas Useage'!$B$4:$B$15,_xlfn.XLOOKUP(E$14,'Gas Useage'!$AA$3:$AB$3,'Gas Useage'!$AA$4:$AB$15))</f>
        <v>7.6233260843629386E-2</v>
      </c>
      <c r="F41" s="259" cm="1">
        <f t="array" aca="1" ref="F41" ca="1">_xlfn.XLOOKUP(F$13,INDIRECT("'"&amp;$B41&amp;" EI'!$B$6:$B$53"),_xlfn.XLOOKUP($C$10,INDIRECT("'"&amp;$B41&amp;" EI'!$D$4:$Z$4"),INDIRECT("'"&amp;$B41&amp;" EI'!$D$6:$Z$53")))*_xlfn.XLOOKUP($B41&amp;F$15,'Gas Useage'!$A$4:$A$15&amp;'Gas Useage'!$B$4:$B$15,_xlfn.XLOOKUP($C41&amp;F$14,'Gas Useage'!$C$2:$AB$2&amp;'Gas Useage'!$C$3:$AB$3,'Gas Useage'!$C$4:$AB$15))/_xlfn.XLOOKUP($B41&amp;F$15,'Gas Useage'!$A$4:$A$15&amp;'Gas Useage'!$B$4:$B$15,_xlfn.XLOOKUP(F$14,'Gas Useage'!$AA$3:$AB$3,'Gas Useage'!$AA$4:$AB$15))</f>
        <v>0.45112572669503204</v>
      </c>
      <c r="G41" s="259" cm="1">
        <f t="array" aca="1" ref="G41" ca="1">_xlfn.XLOOKUP(G$13,INDIRECT("'"&amp;$B41&amp;" EI'!$B$6:$B$53"),_xlfn.XLOOKUP($C$10,INDIRECT("'"&amp;$B41&amp;" EI'!$D$4:$Z$4"),INDIRECT("'"&amp;$B41&amp;" EI'!$D$6:$Z$53")))*_xlfn.XLOOKUP($B41&amp;G$15,'Gas Useage'!$A$4:$A$15&amp;'Gas Useage'!$B$4:$B$15,_xlfn.XLOOKUP($C41&amp;G$14,'Gas Useage'!$C$2:$AB$2&amp;'Gas Useage'!$C$3:$AB$3,'Gas Useage'!$C$4:$AB$15))/_xlfn.XLOOKUP($B41&amp;G$15,'Gas Useage'!$A$4:$A$15&amp;'Gas Useage'!$B$4:$B$15,_xlfn.XLOOKUP(G$14,'Gas Useage'!$AA$3:$AB$3,'Gas Useage'!$AA$4:$AB$15))</f>
        <v>5.1123113978035685E-2</v>
      </c>
      <c r="H41" s="260" t="s">
        <v>278</v>
      </c>
      <c r="I41" s="260" t="s">
        <v>278</v>
      </c>
      <c r="J41" s="260" t="s">
        <v>278</v>
      </c>
      <c r="K41" s="261" t="s">
        <v>278</v>
      </c>
      <c r="N41" s="258"/>
    </row>
    <row r="42" spans="2:14" ht="13.5" x14ac:dyDescent="0.25">
      <c r="B42" s="32">
        <v>2022</v>
      </c>
      <c r="C42" s="494" t="s">
        <v>280</v>
      </c>
      <c r="D42" s="259" cm="1">
        <f t="array" aca="1" ref="D42" ca="1">_xlfn.XLOOKUP(D$13,INDIRECT("'"&amp;$B42&amp;" EI'!$B$6:$B$53"),_xlfn.XLOOKUP($C$10,INDIRECT("'"&amp;$B42&amp;" EI'!$D$4:$Z$4"),INDIRECT("'"&amp;$B42&amp;" EI'!$D$6:$Z$53")))*_xlfn.XLOOKUP($B42&amp;D$15,'Gas Useage'!$A$4:$A$15&amp;'Gas Useage'!$B$4:$B$15,_xlfn.XLOOKUP($C42&amp;D$14,'Gas Useage'!$C$2:$AB$2&amp;'Gas Useage'!$C$3:$AB$3,'Gas Useage'!$C$4:$AB$15))/_xlfn.XLOOKUP($B42&amp;D$15,'Gas Useage'!$A$4:$A$15&amp;'Gas Useage'!$B$4:$B$15,_xlfn.XLOOKUP(D$14,'Gas Useage'!$AA$3:$AB$3,'Gas Useage'!$AA$4:$AB$15))</f>
        <v>0.77951794559630116</v>
      </c>
      <c r="E42" s="259" cm="1">
        <f t="array" aca="1" ref="E42" ca="1">_xlfn.XLOOKUP(E$13,INDIRECT("'"&amp;$B42&amp;" EI'!$B$6:$B$53"),_xlfn.XLOOKUP($C$10,INDIRECT("'"&amp;$B42&amp;" EI'!$D$4:$Z$4"),INDIRECT("'"&amp;$B42&amp;" EI'!$D$6:$Z$53")))*_xlfn.XLOOKUP($B42&amp;E$15,'Gas Useage'!$A$4:$A$15&amp;'Gas Useage'!$B$4:$B$15,_xlfn.XLOOKUP($C42&amp;E$14,'Gas Useage'!$C$2:$AB$2&amp;'Gas Useage'!$C$3:$AB$3,'Gas Useage'!$C$4:$AB$15))/_xlfn.XLOOKUP($B42&amp;E$15,'Gas Useage'!$A$4:$A$15&amp;'Gas Useage'!$B$4:$B$15,_xlfn.XLOOKUP(E$14,'Gas Useage'!$AA$3:$AB$3,'Gas Useage'!$AA$4:$AB$15))</f>
        <v>7.9075580209140753E-2</v>
      </c>
      <c r="F42" s="259" cm="1">
        <f t="array" aca="1" ref="F42" ca="1">_xlfn.XLOOKUP(F$13,INDIRECT("'"&amp;$B42&amp;" EI'!$B$6:$B$53"),_xlfn.XLOOKUP($C$10,INDIRECT("'"&amp;$B42&amp;" EI'!$D$4:$Z$4"),INDIRECT("'"&amp;$B42&amp;" EI'!$D$6:$Z$53")))*_xlfn.XLOOKUP($B42&amp;F$15,'Gas Useage'!$A$4:$A$15&amp;'Gas Useage'!$B$4:$B$15,_xlfn.XLOOKUP($C42&amp;F$14,'Gas Useage'!$C$2:$AB$2&amp;'Gas Useage'!$C$3:$AB$3,'Gas Useage'!$C$4:$AB$15))/_xlfn.XLOOKUP($B42&amp;F$15,'Gas Useage'!$A$4:$A$15&amp;'Gas Useage'!$B$4:$B$15,_xlfn.XLOOKUP(F$14,'Gas Useage'!$AA$3:$AB$3,'Gas Useage'!$AA$4:$AB$15))</f>
        <v>0.36931082054874376</v>
      </c>
      <c r="G42" s="259" cm="1">
        <f t="array" aca="1" ref="G42" ca="1">_xlfn.XLOOKUP(G$13,INDIRECT("'"&amp;$B42&amp;" EI'!$B$6:$B$53"),_xlfn.XLOOKUP($C$10,INDIRECT("'"&amp;$B42&amp;" EI'!$D$4:$Z$4"),INDIRECT("'"&amp;$B42&amp;" EI'!$D$6:$Z$53")))*_xlfn.XLOOKUP($B42&amp;G$15,'Gas Useage'!$A$4:$A$15&amp;'Gas Useage'!$B$4:$B$15,_xlfn.XLOOKUP($C42&amp;G$14,'Gas Useage'!$C$2:$AB$2&amp;'Gas Useage'!$C$3:$AB$3,'Gas Useage'!$C$4:$AB$15))/_xlfn.XLOOKUP($B42&amp;G$15,'Gas Useage'!$A$4:$A$15&amp;'Gas Useage'!$B$4:$B$15,_xlfn.XLOOKUP(G$14,'Gas Useage'!$AA$3:$AB$3,'Gas Useage'!$AA$4:$AB$15))</f>
        <v>3.746349596873777E-2</v>
      </c>
      <c r="H42" s="260" t="s">
        <v>278</v>
      </c>
      <c r="I42" s="260" t="s">
        <v>278</v>
      </c>
      <c r="J42" s="260" t="s">
        <v>278</v>
      </c>
      <c r="K42" s="261" t="s">
        <v>278</v>
      </c>
      <c r="N42" s="258"/>
    </row>
    <row r="43" spans="2:14" ht="13.5" x14ac:dyDescent="0.25">
      <c r="B43" s="32">
        <v>2022</v>
      </c>
      <c r="C43" s="494" t="s">
        <v>281</v>
      </c>
      <c r="D43" s="259" cm="1">
        <f t="array" aca="1" ref="D43" ca="1">_xlfn.XLOOKUP(D$13,INDIRECT("'"&amp;$B43&amp;" EI'!$B$6:$B$53"),_xlfn.XLOOKUP($C$10,INDIRECT("'"&amp;$B43&amp;" EI'!$D$4:$Z$4"),INDIRECT("'"&amp;$B43&amp;" EI'!$D$6:$Z$53")))*_xlfn.XLOOKUP($B43&amp;D$15,'Gas Useage'!$A$4:$A$15&amp;'Gas Useage'!$B$4:$B$15,_xlfn.XLOOKUP($C43&amp;D$14,'Gas Useage'!$C$2:$AB$2&amp;'Gas Useage'!$C$3:$AB$3,'Gas Useage'!$C$4:$AB$15))/_xlfn.XLOOKUP($B43&amp;D$15,'Gas Useage'!$A$4:$A$15&amp;'Gas Useage'!$B$4:$B$15,_xlfn.XLOOKUP(D$14,'Gas Useage'!$AA$3:$AB$3,'Gas Useage'!$AA$4:$AB$15))</f>
        <v>0.79913777866604441</v>
      </c>
      <c r="E43" s="259" cm="1">
        <f t="array" aca="1" ref="E43" ca="1">_xlfn.XLOOKUP(E$13,INDIRECT("'"&amp;$B43&amp;" EI'!$B$6:$B$53"),_xlfn.XLOOKUP($C$10,INDIRECT("'"&amp;$B43&amp;" EI'!$D$4:$Z$4"),INDIRECT("'"&amp;$B43&amp;" EI'!$D$6:$Z$53")))*_xlfn.XLOOKUP($B43&amp;E$15,'Gas Useage'!$A$4:$A$15&amp;'Gas Useage'!$B$4:$B$15,_xlfn.XLOOKUP($C43&amp;E$14,'Gas Useage'!$C$2:$AB$2&amp;'Gas Useage'!$C$3:$AB$3,'Gas Useage'!$C$4:$AB$15))/_xlfn.XLOOKUP($B43&amp;E$15,'Gas Useage'!$A$4:$A$15&amp;'Gas Useage'!$B$4:$B$15,_xlfn.XLOOKUP(E$14,'Gas Useage'!$AA$3:$AB$3,'Gas Useage'!$AA$4:$AB$15))</f>
        <v>8.9490421219334565E-2</v>
      </c>
      <c r="F43" s="259" cm="1">
        <f t="array" aca="1" ref="F43" ca="1">_xlfn.XLOOKUP(F$13,INDIRECT("'"&amp;$B43&amp;" EI'!$B$6:$B$53"),_xlfn.XLOOKUP($C$10,INDIRECT("'"&amp;$B43&amp;" EI'!$D$4:$Z$4"),INDIRECT("'"&amp;$B43&amp;" EI'!$D$6:$Z$53")))*_xlfn.XLOOKUP($B43&amp;F$15,'Gas Useage'!$A$4:$A$15&amp;'Gas Useage'!$B$4:$B$15,_xlfn.XLOOKUP($C43&amp;F$14,'Gas Useage'!$C$2:$AB$2&amp;'Gas Useage'!$C$3:$AB$3,'Gas Useage'!$C$4:$AB$15))/_xlfn.XLOOKUP($B43&amp;F$15,'Gas Useage'!$A$4:$A$15&amp;'Gas Useage'!$B$4:$B$15,_xlfn.XLOOKUP(F$14,'Gas Useage'!$AA$3:$AB$3,'Gas Useage'!$AA$4:$AB$15))</f>
        <v>0.64452433176591695</v>
      </c>
      <c r="G43" s="259" cm="1">
        <f t="array" aca="1" ref="G43" ca="1">_xlfn.XLOOKUP(G$13,INDIRECT("'"&amp;$B43&amp;" EI'!$B$6:$B$53"),_xlfn.XLOOKUP($C$10,INDIRECT("'"&amp;$B43&amp;" EI'!$D$4:$Z$4"),INDIRECT("'"&amp;$B43&amp;" EI'!$D$6:$Z$53")))*_xlfn.XLOOKUP($B43&amp;G$15,'Gas Useage'!$A$4:$A$15&amp;'Gas Useage'!$B$4:$B$15,_xlfn.XLOOKUP($C43&amp;G$14,'Gas Useage'!$C$2:$AB$2&amp;'Gas Useage'!$C$3:$AB$3,'Gas Useage'!$C$4:$AB$15))/_xlfn.XLOOKUP($B43&amp;G$15,'Gas Useage'!$A$4:$A$15&amp;'Gas Useage'!$B$4:$B$15,_xlfn.XLOOKUP(G$14,'Gas Useage'!$AA$3:$AB$3,'Gas Useage'!$AA$4:$AB$15))</f>
        <v>7.2176232278896815E-2</v>
      </c>
      <c r="H43" s="260" t="s">
        <v>278</v>
      </c>
      <c r="I43" s="260" t="s">
        <v>278</v>
      </c>
      <c r="J43" s="260" t="s">
        <v>278</v>
      </c>
      <c r="K43" s="261" t="s">
        <v>278</v>
      </c>
      <c r="N43" s="258"/>
    </row>
    <row r="44" spans="2:14" ht="13.5" x14ac:dyDescent="0.25">
      <c r="B44" s="32">
        <v>2022</v>
      </c>
      <c r="C44" s="494" t="s">
        <v>282</v>
      </c>
      <c r="D44" s="259" cm="1">
        <f t="array" aca="1" ref="D44" ca="1">_xlfn.XLOOKUP(D$13,INDIRECT("'"&amp;$B44&amp;" EI'!$B$6:$B$53"),_xlfn.XLOOKUP($C$10,INDIRECT("'"&amp;$B44&amp;" EI'!$D$4:$Z$4"),INDIRECT("'"&amp;$B44&amp;" EI'!$D$6:$Z$53")))*_xlfn.XLOOKUP($B44&amp;D$15,'Gas Useage'!$A$4:$A$15&amp;'Gas Useage'!$B$4:$B$15,_xlfn.XLOOKUP($C44&amp;D$14,'Gas Useage'!$C$2:$AB$2&amp;'Gas Useage'!$C$3:$AB$3,'Gas Useage'!$C$4:$AB$15))/_xlfn.XLOOKUP($B44&amp;D$15,'Gas Useage'!$A$4:$A$15&amp;'Gas Useage'!$B$4:$B$15,_xlfn.XLOOKUP(D$14,'Gas Useage'!$AA$3:$AB$3,'Gas Useage'!$AA$4:$AB$15))</f>
        <v>0.54952465773736336</v>
      </c>
      <c r="E44" s="259" cm="1">
        <f t="array" aca="1" ref="E44" ca="1">_xlfn.XLOOKUP(E$13,INDIRECT("'"&amp;$B44&amp;" EI'!$B$6:$B$53"),_xlfn.XLOOKUP($C$10,INDIRECT("'"&amp;$B44&amp;" EI'!$D$4:$Z$4"),INDIRECT("'"&amp;$B44&amp;" EI'!$D$6:$Z$53")))*_xlfn.XLOOKUP($B44&amp;E$15,'Gas Useage'!$A$4:$A$15&amp;'Gas Useage'!$B$4:$B$15,_xlfn.XLOOKUP($C44&amp;E$14,'Gas Useage'!$C$2:$AB$2&amp;'Gas Useage'!$C$3:$AB$3,'Gas Useage'!$C$4:$AB$15))/_xlfn.XLOOKUP($B44&amp;E$15,'Gas Useage'!$A$4:$A$15&amp;'Gas Useage'!$B$4:$B$15,_xlfn.XLOOKUP(E$14,'Gas Useage'!$AA$3:$AB$3,'Gas Useage'!$AA$4:$AB$15))</f>
        <v>6.4127098958405793E-2</v>
      </c>
      <c r="F44" s="259" cm="1">
        <f t="array" aca="1" ref="F44" ca="1">_xlfn.XLOOKUP(F$13,INDIRECT("'"&amp;$B44&amp;" EI'!$B$6:$B$53"),_xlfn.XLOOKUP($C$10,INDIRECT("'"&amp;$B44&amp;" EI'!$D$4:$Z$4"),INDIRECT("'"&amp;$B44&amp;" EI'!$D$6:$Z$53")))*_xlfn.XLOOKUP($B44&amp;F$15,'Gas Useage'!$A$4:$A$15&amp;'Gas Useage'!$B$4:$B$15,_xlfn.XLOOKUP($C44&amp;F$14,'Gas Useage'!$C$2:$AB$2&amp;'Gas Useage'!$C$3:$AB$3,'Gas Useage'!$C$4:$AB$15))/_xlfn.XLOOKUP($B44&amp;F$15,'Gas Useage'!$A$4:$A$15&amp;'Gas Useage'!$B$4:$B$15,_xlfn.XLOOKUP(F$14,'Gas Useage'!$AA$3:$AB$3,'Gas Useage'!$AA$4:$AB$15))</f>
        <v>0.31853655737617159</v>
      </c>
      <c r="G44" s="259" cm="1">
        <f t="array" aca="1" ref="G44" ca="1">_xlfn.XLOOKUP(G$13,INDIRECT("'"&amp;$B44&amp;" EI'!$B$6:$B$53"),_xlfn.XLOOKUP($C$10,INDIRECT("'"&amp;$B44&amp;" EI'!$D$4:$Z$4"),INDIRECT("'"&amp;$B44&amp;" EI'!$D$6:$Z$53")))*_xlfn.XLOOKUP($B44&amp;G$15,'Gas Useage'!$A$4:$A$15&amp;'Gas Useage'!$B$4:$B$15,_xlfn.XLOOKUP($C44&amp;G$14,'Gas Useage'!$C$2:$AB$2&amp;'Gas Useage'!$C$3:$AB$3,'Gas Useage'!$C$4:$AB$15))/_xlfn.XLOOKUP($B44&amp;G$15,'Gas Useage'!$A$4:$A$15&amp;'Gas Useage'!$B$4:$B$15,_xlfn.XLOOKUP(G$14,'Gas Useage'!$AA$3:$AB$3,'Gas Useage'!$AA$4:$AB$15))</f>
        <v>3.7171808487790073E-2</v>
      </c>
      <c r="H44" s="260" t="s">
        <v>278</v>
      </c>
      <c r="I44" s="260" t="s">
        <v>278</v>
      </c>
      <c r="J44" s="260" t="s">
        <v>278</v>
      </c>
      <c r="K44" s="261" t="s">
        <v>278</v>
      </c>
      <c r="N44" s="258"/>
    </row>
    <row r="45" spans="2:14" ht="13.5" x14ac:dyDescent="0.25">
      <c r="B45" s="32">
        <v>2022</v>
      </c>
      <c r="C45" s="494" t="s">
        <v>283</v>
      </c>
      <c r="D45" s="259" cm="1">
        <f t="array" aca="1" ref="D45" ca="1">_xlfn.XLOOKUP(D$13,INDIRECT("'"&amp;$B45&amp;" EI'!$B$6:$B$53"),_xlfn.XLOOKUP($C$10,INDIRECT("'"&amp;$B45&amp;" EI'!$D$4:$Z$4"),INDIRECT("'"&amp;$B45&amp;" EI'!$D$6:$Z$53")))*_xlfn.XLOOKUP($B45&amp;D$15,'Gas Useage'!$A$4:$A$15&amp;'Gas Useage'!$B$4:$B$15,_xlfn.XLOOKUP($C45&amp;D$14,'Gas Useage'!$C$2:$AB$2&amp;'Gas Useage'!$C$3:$AB$3,'Gas Useage'!$C$4:$AB$15))/_xlfn.XLOOKUP($B45&amp;D$15,'Gas Useage'!$A$4:$A$15&amp;'Gas Useage'!$B$4:$B$15,_xlfn.XLOOKUP(D$14,'Gas Useage'!$AA$3:$AB$3,'Gas Useage'!$AA$4:$AB$15))</f>
        <v>0.14023882145906999</v>
      </c>
      <c r="E45" s="259" cm="1">
        <f t="array" aca="1" ref="E45" ca="1">_xlfn.XLOOKUP(E$13,INDIRECT("'"&amp;$B45&amp;" EI'!$B$6:$B$53"),_xlfn.XLOOKUP($C$10,INDIRECT("'"&amp;$B45&amp;" EI'!$D$4:$Z$4"),INDIRECT("'"&amp;$B45&amp;" EI'!$D$6:$Z$53")))*_xlfn.XLOOKUP($B45&amp;E$15,'Gas Useage'!$A$4:$A$15&amp;'Gas Useage'!$B$4:$B$15,_xlfn.XLOOKUP($C45&amp;E$14,'Gas Useage'!$C$2:$AB$2&amp;'Gas Useage'!$C$3:$AB$3,'Gas Useage'!$C$4:$AB$15))/_xlfn.XLOOKUP($B45&amp;E$15,'Gas Useage'!$A$4:$A$15&amp;'Gas Useage'!$B$4:$B$15,_xlfn.XLOOKUP(E$14,'Gas Useage'!$AA$3:$AB$3,'Gas Useage'!$AA$4:$AB$15))</f>
        <v>1.710583102353758E-2</v>
      </c>
      <c r="F45" s="259" cm="1">
        <f t="array" aca="1" ref="F45" ca="1">_xlfn.XLOOKUP(F$13,INDIRECT("'"&amp;$B45&amp;" EI'!$B$6:$B$53"),_xlfn.XLOOKUP($C$10,INDIRECT("'"&amp;$B45&amp;" EI'!$D$4:$Z$4"),INDIRECT("'"&amp;$B45&amp;" EI'!$D$6:$Z$53")))*_xlfn.XLOOKUP($B45&amp;F$15,'Gas Useage'!$A$4:$A$15&amp;'Gas Useage'!$B$4:$B$15,_xlfn.XLOOKUP($C45&amp;F$14,'Gas Useage'!$C$2:$AB$2&amp;'Gas Useage'!$C$3:$AB$3,'Gas Useage'!$C$4:$AB$15))/_xlfn.XLOOKUP($B45&amp;F$15,'Gas Useage'!$A$4:$A$15&amp;'Gas Useage'!$B$4:$B$15,_xlfn.XLOOKUP(F$14,'Gas Useage'!$AA$3:$AB$3,'Gas Useage'!$AA$4:$AB$15))</f>
        <v>9.6992129222891327E-2</v>
      </c>
      <c r="G45" s="259" cm="1">
        <f t="array" aca="1" ref="G45" ca="1">_xlfn.XLOOKUP(G$13,INDIRECT("'"&amp;$B45&amp;" EI'!$B$6:$B$53"),_xlfn.XLOOKUP($C$10,INDIRECT("'"&amp;$B45&amp;" EI'!$D$4:$Z$4"),INDIRECT("'"&amp;$B45&amp;" EI'!$D$6:$Z$53")))*_xlfn.XLOOKUP($B45&amp;G$15,'Gas Useage'!$A$4:$A$15&amp;'Gas Useage'!$B$4:$B$15,_xlfn.XLOOKUP($C45&amp;G$14,'Gas Useage'!$C$2:$AB$2&amp;'Gas Useage'!$C$3:$AB$3,'Gas Useage'!$C$4:$AB$15))/_xlfn.XLOOKUP($B45&amp;G$15,'Gas Useage'!$A$4:$A$15&amp;'Gas Useage'!$B$4:$B$15,_xlfn.XLOOKUP(G$14,'Gas Useage'!$AA$3:$AB$3,'Gas Useage'!$AA$4:$AB$15))</f>
        <v>1.1830753822928647E-2</v>
      </c>
      <c r="H45" s="260" t="s">
        <v>278</v>
      </c>
      <c r="I45" s="260" t="s">
        <v>278</v>
      </c>
      <c r="J45" s="260" t="s">
        <v>278</v>
      </c>
      <c r="K45" s="261" t="s">
        <v>278</v>
      </c>
      <c r="N45" s="258"/>
    </row>
    <row r="46" spans="2:14" ht="13.5" x14ac:dyDescent="0.25">
      <c r="B46" s="32">
        <v>2022</v>
      </c>
      <c r="C46" s="494" t="s">
        <v>284</v>
      </c>
      <c r="D46" s="259" cm="1">
        <f t="array" aca="1" ref="D46" ca="1">_xlfn.XLOOKUP(D$13,INDIRECT("'"&amp;$B46&amp;" EI'!$B$6:$B$53"),_xlfn.XLOOKUP($C$10,INDIRECT("'"&amp;$B46&amp;" EI'!$D$4:$Z$4"),INDIRECT("'"&amp;$B46&amp;" EI'!$D$6:$Z$53")))*_xlfn.XLOOKUP($B46&amp;D$15,'Gas Useage'!$A$4:$A$15&amp;'Gas Useage'!$B$4:$B$15,_xlfn.XLOOKUP($C46&amp;D$14,'Gas Useage'!$C$2:$AB$2&amp;'Gas Useage'!$C$3:$AB$3,'Gas Useage'!$C$4:$AB$15))/_xlfn.XLOOKUP($B46&amp;D$15,'Gas Useage'!$A$4:$A$15&amp;'Gas Useage'!$B$4:$B$15,_xlfn.XLOOKUP(D$14,'Gas Useage'!$AA$3:$AB$3,'Gas Useage'!$AA$4:$AB$15))</f>
        <v>0.40634325183223247</v>
      </c>
      <c r="E46" s="259" cm="1">
        <f t="array" aca="1" ref="E46" ca="1">_xlfn.XLOOKUP(E$13,INDIRECT("'"&amp;$B46&amp;" EI'!$B$6:$B$53"),_xlfn.XLOOKUP($C$10,INDIRECT("'"&amp;$B46&amp;" EI'!$D$4:$Z$4"),INDIRECT("'"&amp;$B46&amp;" EI'!$D$6:$Z$53")))*_xlfn.XLOOKUP($B46&amp;E$15,'Gas Useage'!$A$4:$A$15&amp;'Gas Useage'!$B$4:$B$15,_xlfn.XLOOKUP($C46&amp;E$14,'Gas Useage'!$C$2:$AB$2&amp;'Gas Useage'!$C$3:$AB$3,'Gas Useage'!$C$4:$AB$15))/_xlfn.XLOOKUP($B46&amp;E$15,'Gas Useage'!$A$4:$A$15&amp;'Gas Useage'!$B$4:$B$15,_xlfn.XLOOKUP(E$14,'Gas Useage'!$AA$3:$AB$3,'Gas Useage'!$AA$4:$AB$15))</f>
        <v>5.7128962254974859E-2</v>
      </c>
      <c r="F46" s="259" cm="1">
        <f t="array" aca="1" ref="F46" ca="1">_xlfn.XLOOKUP(F$13,INDIRECT("'"&amp;$B46&amp;" EI'!$B$6:$B$53"),_xlfn.XLOOKUP($C$10,INDIRECT("'"&amp;$B46&amp;" EI'!$D$4:$Z$4"),INDIRECT("'"&amp;$B46&amp;" EI'!$D$6:$Z$53")))*_xlfn.XLOOKUP($B46&amp;F$15,'Gas Useage'!$A$4:$A$15&amp;'Gas Useage'!$B$4:$B$15,_xlfn.XLOOKUP($C46&amp;F$14,'Gas Useage'!$C$2:$AB$2&amp;'Gas Useage'!$C$3:$AB$3,'Gas Useage'!$C$4:$AB$15))/_xlfn.XLOOKUP($B46&amp;F$15,'Gas Useage'!$A$4:$A$15&amp;'Gas Useage'!$B$4:$B$15,_xlfn.XLOOKUP(F$14,'Gas Useage'!$AA$3:$AB$3,'Gas Useage'!$AA$4:$AB$15))</f>
        <v>0.38410044723287556</v>
      </c>
      <c r="G46" s="259" cm="1">
        <f t="array" aca="1" ref="G46" ca="1">_xlfn.XLOOKUP(G$13,INDIRECT("'"&amp;$B46&amp;" EI'!$B$6:$B$53"),_xlfn.XLOOKUP($C$10,INDIRECT("'"&amp;$B46&amp;" EI'!$D$4:$Z$4"),INDIRECT("'"&amp;$B46&amp;" EI'!$D$6:$Z$53")))*_xlfn.XLOOKUP($B46&amp;G$15,'Gas Useage'!$A$4:$A$15&amp;'Gas Useage'!$B$4:$B$15,_xlfn.XLOOKUP($C46&amp;G$14,'Gas Useage'!$C$2:$AB$2&amp;'Gas Useage'!$C$3:$AB$3,'Gas Useage'!$C$4:$AB$15))/_xlfn.XLOOKUP($B46&amp;G$15,'Gas Useage'!$A$4:$A$15&amp;'Gas Useage'!$B$4:$B$15,_xlfn.XLOOKUP(G$14,'Gas Useage'!$AA$3:$AB$3,'Gas Useage'!$AA$4:$AB$15))</f>
        <v>5.4001782613940542E-2</v>
      </c>
      <c r="H46" s="260" t="s">
        <v>278</v>
      </c>
      <c r="I46" s="260" t="s">
        <v>278</v>
      </c>
      <c r="J46" s="260" t="s">
        <v>278</v>
      </c>
      <c r="K46" s="261" t="s">
        <v>278</v>
      </c>
      <c r="N46" s="258"/>
    </row>
    <row r="47" spans="2:14" ht="13.5" x14ac:dyDescent="0.25">
      <c r="B47" s="32">
        <v>2022</v>
      </c>
      <c r="C47" s="494" t="s">
        <v>285</v>
      </c>
      <c r="D47" s="259" cm="1">
        <f t="array" aca="1" ref="D47" ca="1">_xlfn.XLOOKUP(D$13,INDIRECT("'"&amp;$B47&amp;" EI'!$B$6:$B$53"),_xlfn.XLOOKUP($C$10,INDIRECT("'"&amp;$B47&amp;" EI'!$D$4:$Z$4"),INDIRECT("'"&amp;$B47&amp;" EI'!$D$6:$Z$53")))*_xlfn.XLOOKUP($B47&amp;D$15,'Gas Useage'!$A$4:$A$15&amp;'Gas Useage'!$B$4:$B$15,_xlfn.XLOOKUP($C47&amp;D$14,'Gas Useage'!$C$2:$AB$2&amp;'Gas Useage'!$C$3:$AB$3,'Gas Useage'!$C$4:$AB$15))/_xlfn.XLOOKUP($B47&amp;D$15,'Gas Useage'!$A$4:$A$15&amp;'Gas Useage'!$B$4:$B$15,_xlfn.XLOOKUP(D$14,'Gas Useage'!$AA$3:$AB$3,'Gas Useage'!$AA$4:$AB$15))</f>
        <v>1.0287939891019289</v>
      </c>
      <c r="E47" s="259" cm="1">
        <f t="array" aca="1" ref="E47" ca="1">_xlfn.XLOOKUP(E$13,INDIRECT("'"&amp;$B47&amp;" EI'!$B$6:$B$53"),_xlfn.XLOOKUP($C$10,INDIRECT("'"&amp;$B47&amp;" EI'!$D$4:$Z$4"),INDIRECT("'"&amp;$B47&amp;" EI'!$D$6:$Z$53")))*_xlfn.XLOOKUP($B47&amp;E$15,'Gas Useage'!$A$4:$A$15&amp;'Gas Useage'!$B$4:$B$15,_xlfn.XLOOKUP($C47&amp;E$14,'Gas Useage'!$C$2:$AB$2&amp;'Gas Useage'!$C$3:$AB$3,'Gas Useage'!$C$4:$AB$15))/_xlfn.XLOOKUP($B47&amp;E$15,'Gas Useage'!$A$4:$A$15&amp;'Gas Useage'!$B$4:$B$15,_xlfn.XLOOKUP(E$14,'Gas Useage'!$AA$3:$AB$3,'Gas Useage'!$AA$4:$AB$15))</f>
        <v>0.10251447012343518</v>
      </c>
      <c r="F47" s="259" cm="1">
        <f t="array" aca="1" ref="F47" ca="1">_xlfn.XLOOKUP(F$13,INDIRECT("'"&amp;$B47&amp;" EI'!$B$6:$B$53"),_xlfn.XLOOKUP($C$10,INDIRECT("'"&amp;$B47&amp;" EI'!$D$4:$Z$4"),INDIRECT("'"&amp;$B47&amp;" EI'!$D$6:$Z$53")))*_xlfn.XLOOKUP($B47&amp;F$15,'Gas Useage'!$A$4:$A$15&amp;'Gas Useage'!$B$4:$B$15,_xlfn.XLOOKUP($C47&amp;F$14,'Gas Useage'!$C$2:$AB$2&amp;'Gas Useage'!$C$3:$AB$3,'Gas Useage'!$C$4:$AB$15))/_xlfn.XLOOKUP($B47&amp;F$15,'Gas Useage'!$A$4:$A$15&amp;'Gas Useage'!$B$4:$B$15,_xlfn.XLOOKUP(F$14,'Gas Useage'!$AA$3:$AB$3,'Gas Useage'!$AA$4:$AB$15))</f>
        <v>0.74742926770876206</v>
      </c>
      <c r="G47" s="259" cm="1">
        <f t="array" aca="1" ref="G47" ca="1">_xlfn.XLOOKUP(G$13,INDIRECT("'"&amp;$B47&amp;" EI'!$B$6:$B$53"),_xlfn.XLOOKUP($C$10,INDIRECT("'"&amp;$B47&amp;" EI'!$D$4:$Z$4"),INDIRECT("'"&amp;$B47&amp;" EI'!$D$6:$Z$53")))*_xlfn.XLOOKUP($B47&amp;G$15,'Gas Useage'!$A$4:$A$15&amp;'Gas Useage'!$B$4:$B$15,_xlfn.XLOOKUP($C47&amp;G$14,'Gas Useage'!$C$2:$AB$2&amp;'Gas Useage'!$C$3:$AB$3,'Gas Useage'!$C$4:$AB$15))/_xlfn.XLOOKUP($B47&amp;G$15,'Gas Useage'!$A$4:$A$15&amp;'Gas Useage'!$B$4:$B$15,_xlfn.XLOOKUP(G$14,'Gas Useage'!$AA$3:$AB$3,'Gas Useage'!$AA$4:$AB$15))</f>
        <v>7.4477802305976976E-2</v>
      </c>
      <c r="H47" s="260" t="s">
        <v>278</v>
      </c>
      <c r="I47" s="260" t="s">
        <v>278</v>
      </c>
      <c r="J47" s="260" t="s">
        <v>278</v>
      </c>
      <c r="K47" s="261" t="s">
        <v>278</v>
      </c>
      <c r="N47" s="258"/>
    </row>
    <row r="48" spans="2:14" ht="14.25" thickBot="1" x14ac:dyDescent="0.3">
      <c r="B48" s="33">
        <v>2022</v>
      </c>
      <c r="C48" s="499" t="s">
        <v>286</v>
      </c>
      <c r="D48" s="262" cm="1">
        <f t="array" aca="1" ref="D48" ca="1">_xlfn.XLOOKUP(D$13,INDIRECT("'"&amp;$B48&amp;" EI'!$B$6:$B$53"),_xlfn.XLOOKUP($C$10,INDIRECT("'"&amp;$B48&amp;" EI'!$D$4:$Z$4"),INDIRECT("'"&amp;$B48&amp;" EI'!$D$6:$Z$53")))*_xlfn.XLOOKUP($B48&amp;D$15,'Gas Useage'!$A$4:$A$15&amp;'Gas Useage'!$B$4:$B$15,_xlfn.XLOOKUP($C48&amp;D$14,'Gas Useage'!$C$2:$AB$2&amp;'Gas Useage'!$C$3:$AB$3,'Gas Useage'!$C$4:$AB$15))/_xlfn.XLOOKUP($B48&amp;D$15,'Gas Useage'!$A$4:$A$15&amp;'Gas Useage'!$B$4:$B$15,_xlfn.XLOOKUP(D$14,'Gas Useage'!$AA$3:$AB$3,'Gas Useage'!$AA$4:$AB$15))</f>
        <v>0.35090168359914647</v>
      </c>
      <c r="E48" s="262" cm="1">
        <f t="array" aca="1" ref="E48" ca="1">_xlfn.XLOOKUP(E$13,INDIRECT("'"&amp;$B48&amp;" EI'!$B$6:$B$53"),_xlfn.XLOOKUP($C$10,INDIRECT("'"&amp;$B48&amp;" EI'!$D$4:$Z$4"),INDIRECT("'"&amp;$B48&amp;" EI'!$D$6:$Z$53")))*_xlfn.XLOOKUP($B48&amp;E$15,'Gas Useage'!$A$4:$A$15&amp;'Gas Useage'!$B$4:$B$15,_xlfn.XLOOKUP($C48&amp;E$14,'Gas Useage'!$C$2:$AB$2&amp;'Gas Useage'!$C$3:$AB$3,'Gas Useage'!$C$4:$AB$15))/_xlfn.XLOOKUP($B48&amp;E$15,'Gas Useage'!$A$4:$A$15&amp;'Gas Useage'!$B$4:$B$15,_xlfn.XLOOKUP(E$14,'Gas Useage'!$AA$3:$AB$3,'Gas Useage'!$AA$4:$AB$15))</f>
        <v>4.3626758088951077E-2</v>
      </c>
      <c r="F48" s="262" cm="1">
        <f t="array" aca="1" ref="F48" ca="1">_xlfn.XLOOKUP(F$13,INDIRECT("'"&amp;$B48&amp;" EI'!$B$6:$B$53"),_xlfn.XLOOKUP($C$10,INDIRECT("'"&amp;$B48&amp;" EI'!$D$4:$Z$4"),INDIRECT("'"&amp;$B48&amp;" EI'!$D$6:$Z$53")))*_xlfn.XLOOKUP($B48&amp;F$15,'Gas Useage'!$A$4:$A$15&amp;'Gas Useage'!$B$4:$B$15,_xlfn.XLOOKUP($C48&amp;F$14,'Gas Useage'!$C$2:$AB$2&amp;'Gas Useage'!$C$3:$AB$3,'Gas Useage'!$C$4:$AB$15))/_xlfn.XLOOKUP($B48&amp;F$15,'Gas Useage'!$A$4:$A$15&amp;'Gas Useage'!$B$4:$B$15,_xlfn.XLOOKUP(F$14,'Gas Useage'!$AA$3:$AB$3,'Gas Useage'!$AA$4:$AB$15))</f>
        <v>0.19887312747834679</v>
      </c>
      <c r="G48" s="262" cm="1">
        <f t="array" aca="1" ref="G48" ca="1">_xlfn.XLOOKUP(G$13,INDIRECT("'"&amp;$B48&amp;" EI'!$B$6:$B$53"),_xlfn.XLOOKUP($C$10,INDIRECT("'"&amp;$B48&amp;" EI'!$D$4:$Z$4"),INDIRECT("'"&amp;$B48&amp;" EI'!$D$6:$Z$53")))*_xlfn.XLOOKUP($B48&amp;G$15,'Gas Useage'!$A$4:$A$15&amp;'Gas Useage'!$B$4:$B$15,_xlfn.XLOOKUP($C48&amp;G$14,'Gas Useage'!$C$2:$AB$2&amp;'Gas Useage'!$C$3:$AB$3,'Gas Useage'!$C$4:$AB$15))/_xlfn.XLOOKUP($B48&amp;G$15,'Gas Useage'!$A$4:$A$15&amp;'Gas Useage'!$B$4:$B$15,_xlfn.XLOOKUP(G$14,'Gas Useage'!$AA$3:$AB$3,'Gas Useage'!$AA$4:$AB$15))</f>
        <v>2.4725415204340358E-2</v>
      </c>
      <c r="H48" s="263">
        <f t="shared" ref="H48:K48" ca="1" si="0">IFERROR(SUM(D25:D48)/2,"--")</f>
        <v>7.3748930817818641</v>
      </c>
      <c r="I48" s="263">
        <f t="shared" ca="1" si="0"/>
        <v>0.68262563384476771</v>
      </c>
      <c r="J48" s="263">
        <f t="shared" ca="1" si="0"/>
        <v>7.4613428703250735</v>
      </c>
      <c r="K48" s="264">
        <f t="shared" ca="1" si="0"/>
        <v>0.66955402269861353</v>
      </c>
      <c r="N48" s="258"/>
    </row>
    <row r="49" spans="2:14" ht="13.5" hidden="1" x14ac:dyDescent="0.25">
      <c r="B49" s="495">
        <v>2022</v>
      </c>
      <c r="C49" s="284" t="s">
        <v>287</v>
      </c>
      <c r="D49" s="496" cm="1">
        <f t="array" aca="1" ref="D49" ca="1">_xlfn.XLOOKUP(D$13,INDIRECT("'"&amp;$B49&amp;" EI'!$B$6:$B$53"),_xlfn.XLOOKUP($C$10,INDIRECT("'"&amp;$B49&amp;" EI'!$D$4:$Z$4"),INDIRECT("'"&amp;$B49&amp;" EI'!$D$6:$Z$53")))*_xlfn.XLOOKUP($B49&amp;D$15,'Gas Useage'!$A$4:$A$15&amp;'Gas Useage'!$B$4:$B$15,_xlfn.XLOOKUP($C49&amp;D$14,'Gas Useage'!$C$2:$AB$2&amp;'Gas Useage'!$C$3:$AB$3,'Gas Useage'!$C$4:$AB$15))/_xlfn.XLOOKUP($B49&amp;D$15,'Gas Useage'!$A$4:$A$15&amp;'Gas Useage'!$B$4:$B$15,_xlfn.XLOOKUP(D$14,'Gas Useage'!$AA$3:$AB$3,'Gas Useage'!$AA$4:$AB$15))</f>
        <v>0.24742624956364392</v>
      </c>
      <c r="E49" s="496" cm="1">
        <f t="array" aca="1" ref="E49" ca="1">_xlfn.XLOOKUP(E$13,INDIRECT("'"&amp;$B49&amp;" EI'!$B$6:$B$53"),_xlfn.XLOOKUP($C$10,INDIRECT("'"&amp;$B49&amp;" EI'!$D$4:$Z$4"),INDIRECT("'"&amp;$B49&amp;" EI'!$D$6:$Z$53")))*_xlfn.XLOOKUP($B49&amp;E$15,'Gas Useage'!$A$4:$A$15&amp;'Gas Useage'!$B$4:$B$15,_xlfn.XLOOKUP($C49&amp;E$14,'Gas Useage'!$C$2:$AB$2&amp;'Gas Useage'!$C$3:$AB$3,'Gas Useage'!$C$4:$AB$15))/_xlfn.XLOOKUP($B49&amp;E$15,'Gas Useage'!$A$4:$A$15&amp;'Gas Useage'!$B$4:$B$15,_xlfn.XLOOKUP(E$14,'Gas Useage'!$AA$3:$AB$3,'Gas Useage'!$AA$4:$AB$15))</f>
        <v>4.6330456496047473E-2</v>
      </c>
      <c r="F49" s="496" cm="1">
        <f t="array" aca="1" ref="F49" ca="1">_xlfn.XLOOKUP(F$13,INDIRECT("'"&amp;$B49&amp;" EI'!$B$6:$B$53"),_xlfn.XLOOKUP($C$10,INDIRECT("'"&amp;$B49&amp;" EI'!$D$4:$Z$4"),INDIRECT("'"&amp;$B49&amp;" EI'!$D$6:$Z$53")))*_xlfn.XLOOKUP($B49&amp;F$15,'Gas Useage'!$A$4:$A$15&amp;'Gas Useage'!$B$4:$B$15,_xlfn.XLOOKUP($C49&amp;F$14,'Gas Useage'!$C$2:$AB$2&amp;'Gas Useage'!$C$3:$AB$3,'Gas Useage'!$C$4:$AB$15))/_xlfn.XLOOKUP($B49&amp;F$15,'Gas Useage'!$A$4:$A$15&amp;'Gas Useage'!$B$4:$B$15,_xlfn.XLOOKUP(F$14,'Gas Useage'!$AA$3:$AB$3,'Gas Useage'!$AA$4:$AB$15))</f>
        <v>0.18685420552447868</v>
      </c>
      <c r="G49" s="496" cm="1">
        <f t="array" aca="1" ref="G49" ca="1">_xlfn.XLOOKUP(G$13,INDIRECT("'"&amp;$B49&amp;" EI'!$B$6:$B$53"),_xlfn.XLOOKUP($C$10,INDIRECT("'"&amp;$B49&amp;" EI'!$D$4:$Z$4"),INDIRECT("'"&amp;$B49&amp;" EI'!$D$6:$Z$53")))*_xlfn.XLOOKUP($B49&amp;G$15,'Gas Useage'!$A$4:$A$15&amp;'Gas Useage'!$B$4:$B$15,_xlfn.XLOOKUP($C49&amp;G$14,'Gas Useage'!$C$2:$AB$2&amp;'Gas Useage'!$C$3:$AB$3,'Gas Useage'!$C$4:$AB$15))/_xlfn.XLOOKUP($B49&amp;G$15,'Gas Useage'!$A$4:$A$15&amp;'Gas Useage'!$B$4:$B$15,_xlfn.XLOOKUP(G$14,'Gas Useage'!$AA$3:$AB$3,'Gas Useage'!$AA$4:$AB$15))</f>
        <v>3.4988367868901381E-2</v>
      </c>
      <c r="H49" s="497">
        <f t="shared" ref="H49:K49" ca="1" si="1">IFERROR(SUM(D26:D49)/2,"--")</f>
        <v>7.3448821791597974</v>
      </c>
      <c r="I49" s="497">
        <f t="shared" ca="1" si="1"/>
        <v>0.69098048952609081</v>
      </c>
      <c r="J49" s="497">
        <f t="shared" ca="1" si="1"/>
        <v>7.1992589018003716</v>
      </c>
      <c r="K49" s="498">
        <f t="shared" ca="1" si="1"/>
        <v>0.65279688297035021</v>
      </c>
      <c r="N49" s="258"/>
    </row>
    <row r="50" spans="2:14" ht="13.5" hidden="1" x14ac:dyDescent="0.25">
      <c r="B50" s="283">
        <v>2022</v>
      </c>
      <c r="C50" s="284" t="s">
        <v>288</v>
      </c>
      <c r="D50" s="290" cm="1">
        <f t="array" aca="1" ref="D50" ca="1">_xlfn.XLOOKUP(D$13,INDIRECT("'"&amp;$B50&amp;" EI'!$B$6:$B$53"),_xlfn.XLOOKUP($C$10,INDIRECT("'"&amp;$B50&amp;" EI'!$D$4:$Z$4"),INDIRECT("'"&amp;$B50&amp;" EI'!$D$6:$Z$53")))*_xlfn.XLOOKUP($B50&amp;D$15,'Gas Useage'!$A$4:$A$15&amp;'Gas Useage'!$B$4:$B$15,_xlfn.XLOOKUP($C50&amp;D$14,'Gas Useage'!$C$2:$AB$2&amp;'Gas Useage'!$C$3:$AB$3,'Gas Useage'!$C$4:$AB$15))/_xlfn.XLOOKUP($B50&amp;D$15,'Gas Useage'!$A$4:$A$15&amp;'Gas Useage'!$B$4:$B$15,_xlfn.XLOOKUP(D$14,'Gas Useage'!$AA$3:$AB$3,'Gas Useage'!$AA$4:$AB$15))</f>
        <v>3.766515230466168E-4</v>
      </c>
      <c r="E50" s="290" cm="1">
        <f t="array" aca="1" ref="E50" ca="1">_xlfn.XLOOKUP(E$13,INDIRECT("'"&amp;$B50&amp;" EI'!$B$6:$B$53"),_xlfn.XLOOKUP($C$10,INDIRECT("'"&amp;$B50&amp;" EI'!$D$4:$Z$4"),INDIRECT("'"&amp;$B50&amp;" EI'!$D$6:$Z$53")))*_xlfn.XLOOKUP($B50&amp;E$15,'Gas Useage'!$A$4:$A$15&amp;'Gas Useage'!$B$4:$B$15,_xlfn.XLOOKUP($C50&amp;E$14,'Gas Useage'!$C$2:$AB$2&amp;'Gas Useage'!$C$3:$AB$3,'Gas Useage'!$C$4:$AB$15))/_xlfn.XLOOKUP($B50&amp;E$15,'Gas Useage'!$A$4:$A$15&amp;'Gas Useage'!$B$4:$B$15,_xlfn.XLOOKUP(E$14,'Gas Useage'!$AA$3:$AB$3,'Gas Useage'!$AA$4:$AB$15))</f>
        <v>4.9107831872454834E-5</v>
      </c>
      <c r="F50" s="290" cm="1">
        <f t="array" aca="1" ref="F50" ca="1">_xlfn.XLOOKUP(F$13,INDIRECT("'"&amp;$B50&amp;" EI'!$B$6:$B$53"),_xlfn.XLOOKUP($C$10,INDIRECT("'"&amp;$B50&amp;" EI'!$D$4:$Z$4"),INDIRECT("'"&amp;$B50&amp;" EI'!$D$6:$Z$53")))*_xlfn.XLOOKUP($B50&amp;F$15,'Gas Useage'!$A$4:$A$15&amp;'Gas Useage'!$B$4:$B$15,_xlfn.XLOOKUP($C50&amp;F$14,'Gas Useage'!$C$2:$AB$2&amp;'Gas Useage'!$C$3:$AB$3,'Gas Useage'!$C$4:$AB$15))/_xlfn.XLOOKUP($B50&amp;F$15,'Gas Useage'!$A$4:$A$15&amp;'Gas Useage'!$B$4:$B$15,_xlfn.XLOOKUP(F$14,'Gas Useage'!$AA$3:$AB$3,'Gas Useage'!$AA$4:$AB$15))</f>
        <v>3.1697402645344645E-4</v>
      </c>
      <c r="G50" s="290" cm="1">
        <f t="array" aca="1" ref="G50" ca="1">_xlfn.XLOOKUP(G$13,INDIRECT("'"&amp;$B50&amp;" EI'!$B$6:$B$53"),_xlfn.XLOOKUP($C$10,INDIRECT("'"&amp;$B50&amp;" EI'!$D$4:$Z$4"),INDIRECT("'"&amp;$B50&amp;" EI'!$D$6:$Z$53")))*_xlfn.XLOOKUP($B50&amp;G$15,'Gas Useage'!$A$4:$A$15&amp;'Gas Useage'!$B$4:$B$15,_xlfn.XLOOKUP($C50&amp;G$14,'Gas Useage'!$C$2:$AB$2&amp;'Gas Useage'!$C$3:$AB$3,'Gas Useage'!$C$4:$AB$15))/_xlfn.XLOOKUP($B50&amp;G$15,'Gas Useage'!$A$4:$A$15&amp;'Gas Useage'!$B$4:$B$15,_xlfn.XLOOKUP(G$14,'Gas Useage'!$AA$3:$AB$3,'Gas Useage'!$AA$4:$AB$15))</f>
        <v>4.1327078868825837E-5</v>
      </c>
      <c r="H50" s="291">
        <f t="shared" ref="H50:K50" ca="1" si="2">IFERROR(SUM(D27:D50)/2,"--")</f>
        <v>7.0136104355688662</v>
      </c>
      <c r="I50" s="291">
        <f t="shared" ca="1" si="2"/>
        <v>0.64786282461963862</v>
      </c>
      <c r="J50" s="291">
        <f t="shared" ca="1" si="2"/>
        <v>6.6976834085884329</v>
      </c>
      <c r="K50" s="292">
        <f t="shared" ca="1" si="2"/>
        <v>0.58751279590199679</v>
      </c>
      <c r="N50" s="258"/>
    </row>
    <row r="51" spans="2:14" ht="14.25" hidden="1" thickBot="1" x14ac:dyDescent="0.3">
      <c r="B51" s="285">
        <v>2022</v>
      </c>
      <c r="C51" s="286" t="s">
        <v>289</v>
      </c>
      <c r="D51" s="287" cm="1">
        <f t="array" aca="1" ref="D51" ca="1">_xlfn.XLOOKUP(D$13,INDIRECT("'"&amp;$B51&amp;" EI'!$B$6:$B$53"),_xlfn.XLOOKUP($C$10,INDIRECT("'"&amp;$B51&amp;" EI'!$D$4:$Z$4"),INDIRECT("'"&amp;$B51&amp;" EI'!$D$6:$Z$53")))*_xlfn.XLOOKUP($B51&amp;D$15,'Gas Useage'!$A$4:$A$15&amp;'Gas Useage'!$B$4:$B$15,_xlfn.XLOOKUP($C51&amp;D$14,'Gas Useage'!$C$2:$AB$2&amp;'Gas Useage'!$C$3:$AB$3,'Gas Useage'!$C$4:$AB$15))/_xlfn.XLOOKUP($B51&amp;D$15,'Gas Useage'!$A$4:$A$15&amp;'Gas Useage'!$B$4:$B$15,_xlfn.XLOOKUP(D$14,'Gas Useage'!$AA$3:$AB$3,'Gas Useage'!$AA$4:$AB$15))</f>
        <v>1.2614324547542027E-4</v>
      </c>
      <c r="E51" s="287" cm="1">
        <f t="array" aca="1" ref="E51" ca="1">_xlfn.XLOOKUP(E$13,INDIRECT("'"&amp;$B51&amp;" EI'!$B$6:$B$53"),_xlfn.XLOOKUP($C$10,INDIRECT("'"&amp;$B51&amp;" EI'!$D$4:$Z$4"),INDIRECT("'"&amp;$B51&amp;" EI'!$D$6:$Z$53")))*_xlfn.XLOOKUP($B51&amp;E$15,'Gas Useage'!$A$4:$A$15&amp;'Gas Useage'!$B$4:$B$15,_xlfn.XLOOKUP($C51&amp;E$14,'Gas Useage'!$C$2:$AB$2&amp;'Gas Useage'!$C$3:$AB$3,'Gas Useage'!$C$4:$AB$15))/_xlfn.XLOOKUP($B51&amp;E$15,'Gas Useage'!$A$4:$A$15&amp;'Gas Useage'!$B$4:$B$15,_xlfn.XLOOKUP(E$14,'Gas Useage'!$AA$3:$AB$3,'Gas Useage'!$AA$4:$AB$15))</f>
        <v>1.7933432914103717E-5</v>
      </c>
      <c r="F51" s="287" cm="1">
        <f t="array" aca="1" ref="F51" ca="1">_xlfn.XLOOKUP(F$13,INDIRECT("'"&amp;$B51&amp;" EI'!$B$6:$B$53"),_xlfn.XLOOKUP($C$10,INDIRECT("'"&amp;$B51&amp;" EI'!$D$4:$Z$4"),INDIRECT("'"&amp;$B51&amp;" EI'!$D$6:$Z$53")))*_xlfn.XLOOKUP($B51&amp;F$15,'Gas Useage'!$A$4:$A$15&amp;'Gas Useage'!$B$4:$B$15,_xlfn.XLOOKUP($C51&amp;F$14,'Gas Useage'!$C$2:$AB$2&amp;'Gas Useage'!$C$3:$AB$3,'Gas Useage'!$C$4:$AB$15))/_xlfn.XLOOKUP($B51&amp;F$15,'Gas Useage'!$A$4:$A$15&amp;'Gas Useage'!$B$4:$B$15,_xlfn.XLOOKUP(F$14,'Gas Useage'!$AA$3:$AB$3,'Gas Useage'!$AA$4:$AB$15))</f>
        <v>9.1297542101489813E-5</v>
      </c>
      <c r="G51" s="287" cm="1">
        <f t="array" aca="1" ref="G51" ca="1">_xlfn.XLOOKUP(G$13,INDIRECT("'"&amp;$B51&amp;" EI'!$B$6:$B$53"),_xlfn.XLOOKUP($C$10,INDIRECT("'"&amp;$B51&amp;" EI'!$D$4:$Z$4"),INDIRECT("'"&amp;$B51&amp;" EI'!$D$6:$Z$53")))*_xlfn.XLOOKUP($B51&amp;G$15,'Gas Useage'!$A$4:$A$15&amp;'Gas Useage'!$B$4:$B$15,_xlfn.XLOOKUP($C51&amp;G$14,'Gas Useage'!$C$2:$AB$2&amp;'Gas Useage'!$C$3:$AB$3,'Gas Useage'!$C$4:$AB$15))/_xlfn.XLOOKUP($B51&amp;G$15,'Gas Useage'!$A$4:$A$15&amp;'Gas Useage'!$B$4:$B$15,_xlfn.XLOOKUP(G$14,'Gas Useage'!$AA$3:$AB$3,'Gas Useage'!$AA$4:$AB$15))</f>
        <v>1.2979516583142462E-5</v>
      </c>
      <c r="H51" s="288">
        <f t="shared" ref="H51:K51" ca="1" si="3">IFERROR(SUM(D28:D51)/2,"--")</f>
        <v>6.6822134378391507</v>
      </c>
      <c r="I51" s="288">
        <f t="shared" ca="1" si="3"/>
        <v>0.60472957251370718</v>
      </c>
      <c r="J51" s="288">
        <f t="shared" ca="1" si="3"/>
        <v>6.1959950771343184</v>
      </c>
      <c r="K51" s="289">
        <f t="shared" ca="1" si="3"/>
        <v>0.52221453505250082</v>
      </c>
      <c r="N51" s="258"/>
    </row>
    <row r="53" spans="2:14" x14ac:dyDescent="0.2">
      <c r="B53" s="265"/>
      <c r="C53" s="265"/>
    </row>
    <row r="54" spans="2:14" x14ac:dyDescent="0.2">
      <c r="B54" s="266"/>
      <c r="C54" s="266"/>
      <c r="D54" s="267"/>
      <c r="E54" s="267"/>
      <c r="F54" s="267"/>
      <c r="G54" s="267"/>
    </row>
    <row r="55" spans="2:14" x14ac:dyDescent="0.2">
      <c r="B55" s="266"/>
      <c r="C55" s="266"/>
      <c r="D55" s="267"/>
      <c r="E55" s="267"/>
      <c r="F55" s="267"/>
      <c r="G55" s="267"/>
    </row>
    <row r="56" spans="2:14" x14ac:dyDescent="0.2">
      <c r="B56" s="266"/>
      <c r="C56" s="266"/>
      <c r="D56" s="267"/>
      <c r="E56" s="267"/>
      <c r="F56" s="267"/>
      <c r="G56" s="267"/>
    </row>
    <row r="57" spans="2:14" x14ac:dyDescent="0.2">
      <c r="B57" s="266"/>
      <c r="C57" s="266"/>
      <c r="D57" s="267"/>
      <c r="E57" s="267"/>
      <c r="F57" s="267"/>
      <c r="G57" s="267"/>
    </row>
    <row r="58" spans="2:14" x14ac:dyDescent="0.2">
      <c r="B58" s="266"/>
      <c r="C58" s="266"/>
      <c r="D58" s="267"/>
      <c r="E58" s="267"/>
      <c r="F58" s="267"/>
      <c r="G58" s="267"/>
      <c r="H58" s="267"/>
      <c r="I58" s="267"/>
      <c r="J58" s="267"/>
      <c r="K58" s="267"/>
    </row>
    <row r="61" spans="2:14" x14ac:dyDescent="0.2">
      <c r="B61" s="265"/>
      <c r="C61" s="265"/>
      <c r="D61" s="268"/>
    </row>
    <row r="62" spans="2:14" x14ac:dyDescent="0.2">
      <c r="B62" s="266"/>
      <c r="C62" s="266"/>
    </row>
    <row r="63" spans="2:14" x14ac:dyDescent="0.2">
      <c r="B63" s="266"/>
      <c r="C63" s="266"/>
    </row>
    <row r="64" spans="2:14" x14ac:dyDescent="0.2">
      <c r="B64" s="266"/>
      <c r="C64" s="266"/>
    </row>
    <row r="65" spans="2:3" x14ac:dyDescent="0.2">
      <c r="B65" s="266"/>
      <c r="C65" s="266"/>
    </row>
    <row r="66" spans="2:3" x14ac:dyDescent="0.2">
      <c r="B66" s="266"/>
      <c r="C66" s="266"/>
    </row>
    <row r="68" spans="2:3" x14ac:dyDescent="0.2">
      <c r="B68" s="266"/>
      <c r="C68" s="266"/>
    </row>
    <row r="70" spans="2:3" x14ac:dyDescent="0.2">
      <c r="B70" s="265"/>
      <c r="C70" s="265"/>
    </row>
  </sheetData>
  <mergeCells count="2">
    <mergeCell ref="D12:G12"/>
    <mergeCell ref="H12:K12"/>
  </mergeCells>
  <pageMargins left="0.7" right="0.7" top="0.75" bottom="0.75" header="0.3" footer="0.3"/>
  <pageSetup scale="66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6DFAA-22F6-467D-9692-506E48307CDE}">
  <sheetPr>
    <tabColor theme="1"/>
  </sheetPr>
  <dimension ref="B1:U70"/>
  <sheetViews>
    <sheetView view="pageBreakPreview" zoomScale="60" zoomScaleNormal="100" workbookViewId="0">
      <selection activeCell="J40" sqref="J40:J41"/>
    </sheetView>
  </sheetViews>
  <sheetFormatPr defaultColWidth="9.140625" defaultRowHeight="12.75" x14ac:dyDescent="0.2"/>
  <cols>
    <col min="1" max="1" width="4.28515625" style="252" customWidth="1"/>
    <col min="2" max="2" width="12" style="252" customWidth="1"/>
    <col min="3" max="3" width="18.85546875" style="252" customWidth="1"/>
    <col min="4" max="7" width="8.85546875" style="252" bestFit="1" customWidth="1"/>
    <col min="8" max="13" width="9.140625" style="252"/>
    <col min="14" max="14" width="11.140625" style="252" bestFit="1" customWidth="1"/>
    <col min="15" max="15" width="17.28515625" style="252" customWidth="1"/>
    <col min="16" max="16" width="15.42578125" style="252" customWidth="1"/>
    <col min="17" max="16384" width="9.140625" style="252"/>
  </cols>
  <sheetData>
    <row r="1" spans="2:21" s="18" customFormat="1" x14ac:dyDescent="0.2">
      <c r="B1" s="28"/>
      <c r="C1" s="28"/>
      <c r="F1" s="19"/>
      <c r="G1" s="19"/>
    </row>
    <row r="2" spans="2:21" s="18" customFormat="1" x14ac:dyDescent="0.2">
      <c r="B2" s="28"/>
      <c r="C2" s="28"/>
      <c r="F2" s="19"/>
      <c r="G2" s="19"/>
    </row>
    <row r="3" spans="2:21" x14ac:dyDescent="0.2">
      <c r="B3" s="20"/>
      <c r="C3" s="20"/>
    </row>
    <row r="4" spans="2:21" x14ac:dyDescent="0.2">
      <c r="B4" s="24" t="s">
        <v>0</v>
      </c>
      <c r="C4" s="25" t="s">
        <v>261</v>
      </c>
    </row>
    <row r="5" spans="2:21" x14ac:dyDescent="0.2">
      <c r="B5" s="24" t="s">
        <v>79</v>
      </c>
      <c r="C5" s="25" t="s">
        <v>4</v>
      </c>
    </row>
    <row r="6" spans="2:21" x14ac:dyDescent="0.2">
      <c r="B6" s="24" t="s">
        <v>80</v>
      </c>
      <c r="C6" s="25" t="s">
        <v>262</v>
      </c>
    </row>
    <row r="7" spans="2:21" x14ac:dyDescent="0.2">
      <c r="B7" s="20"/>
      <c r="C7" s="20"/>
    </row>
    <row r="8" spans="2:21" x14ac:dyDescent="0.2">
      <c r="B8" s="26"/>
      <c r="C8" s="26"/>
    </row>
    <row r="9" spans="2:21" x14ac:dyDescent="0.2">
      <c r="B9" s="26"/>
      <c r="C9" s="26"/>
    </row>
    <row r="10" spans="2:21" x14ac:dyDescent="0.2">
      <c r="B10" s="27" t="s">
        <v>263</v>
      </c>
      <c r="C10" s="35" t="s">
        <v>71</v>
      </c>
    </row>
    <row r="11" spans="2:21" s="253" customFormat="1" ht="15" customHeight="1" thickBot="1" x14ac:dyDescent="0.25">
      <c r="O11" s="252"/>
      <c r="P11" s="252"/>
      <c r="Q11" s="252"/>
      <c r="R11" s="252"/>
      <c r="S11" s="252"/>
      <c r="T11" s="252"/>
      <c r="U11" s="252"/>
    </row>
    <row r="12" spans="2:21" ht="16.5" customHeight="1" thickBot="1" x14ac:dyDescent="0.25">
      <c r="B12" s="30"/>
      <c r="C12" s="30"/>
      <c r="D12" s="552" t="s">
        <v>265</v>
      </c>
      <c r="E12" s="553"/>
      <c r="F12" s="553"/>
      <c r="G12" s="554"/>
      <c r="H12" s="552" t="s">
        <v>266</v>
      </c>
      <c r="I12" s="553"/>
      <c r="J12" s="553"/>
      <c r="K12" s="554"/>
      <c r="L12" s="254"/>
    </row>
    <row r="13" spans="2:21" ht="27.75" thickBot="1" x14ac:dyDescent="0.25">
      <c r="B13" s="29" t="s">
        <v>267</v>
      </c>
      <c r="C13" s="29" t="s">
        <v>268</v>
      </c>
      <c r="D13" s="531" t="s">
        <v>269</v>
      </c>
      <c r="E13" s="532" t="s">
        <v>270</v>
      </c>
      <c r="F13" s="532" t="s">
        <v>271</v>
      </c>
      <c r="G13" s="533" t="s">
        <v>272</v>
      </c>
      <c r="H13" s="531" t="s">
        <v>269</v>
      </c>
      <c r="I13" s="532" t="s">
        <v>270</v>
      </c>
      <c r="J13" s="532" t="s">
        <v>271</v>
      </c>
      <c r="K13" s="533" t="s">
        <v>272</v>
      </c>
    </row>
    <row r="14" spans="2:21" ht="27.75" thickBot="1" x14ac:dyDescent="0.25">
      <c r="B14" s="199"/>
      <c r="C14" s="199"/>
      <c r="D14" s="531" t="s">
        <v>273</v>
      </c>
      <c r="E14" s="532" t="s">
        <v>274</v>
      </c>
      <c r="F14" s="532" t="s">
        <v>273</v>
      </c>
      <c r="G14" s="533" t="s">
        <v>274</v>
      </c>
      <c r="H14" s="531"/>
      <c r="I14" s="532"/>
      <c r="J14" s="532"/>
      <c r="K14" s="533"/>
    </row>
    <row r="15" spans="2:21" ht="14.25" thickBot="1" x14ac:dyDescent="0.25">
      <c r="B15" s="199"/>
      <c r="C15" s="199"/>
      <c r="D15" s="534" t="s">
        <v>275</v>
      </c>
      <c r="E15" s="535" t="s">
        <v>275</v>
      </c>
      <c r="F15" s="535" t="s">
        <v>276</v>
      </c>
      <c r="G15" s="536" t="s">
        <v>276</v>
      </c>
      <c r="H15" s="534"/>
      <c r="I15" s="535"/>
      <c r="J15" s="535"/>
      <c r="K15" s="536"/>
    </row>
    <row r="16" spans="2:21" ht="13.5" hidden="1" x14ac:dyDescent="0.25">
      <c r="B16" s="31">
        <v>2020</v>
      </c>
      <c r="C16" s="197" t="s">
        <v>277</v>
      </c>
      <c r="D16" s="255" cm="1">
        <f t="array" aca="1" ref="D16" ca="1">_xlfn.XLOOKUP(D$13,INDIRECT("'"&amp;$B16&amp;" EI'!$B$6:$B$53"),_xlfn.XLOOKUP($C$10,INDIRECT("'"&amp;$B16&amp;" EI'!$D$4:$Z$4"),INDIRECT("'"&amp;$B16&amp;" EI'!$D$6:$Z$53")))*_xlfn.XLOOKUP($B16&amp;D$15,'Gas Useage'!$A$4:$A$15&amp;'Gas Useage'!$B$4:$B$15,_xlfn.XLOOKUP($C16&amp;D$14,'Gas Useage'!$C$2:$AB$2&amp;'Gas Useage'!$C$3:$AB$3,'Gas Useage'!$C$4:$AB$15))/_xlfn.XLOOKUP($B16&amp;D$15,'Gas Useage'!$A$4:$A$15&amp;'Gas Useage'!$B$4:$B$15,_xlfn.XLOOKUP(D$14,'Gas Useage'!$AA$3:$AB$3,'Gas Useage'!$AA$4:$AB$15))</f>
        <v>8.6904713958191153E-3</v>
      </c>
      <c r="E16" s="255" cm="1">
        <f t="array" aca="1" ref="E16" ca="1">_xlfn.XLOOKUP(E$13,INDIRECT("'"&amp;$B16&amp;" EI'!$B$6:$B$53"),_xlfn.XLOOKUP($C$10,INDIRECT("'"&amp;$B16&amp;" EI'!$D$4:$Z$4"),INDIRECT("'"&amp;$B16&amp;" EI'!$D$6:$Z$53")))*_xlfn.XLOOKUP($B16&amp;E$15,'Gas Useage'!$A$4:$A$15&amp;'Gas Useage'!$B$4:$B$15,_xlfn.XLOOKUP($C16&amp;E$14,'Gas Useage'!$C$2:$AB$2&amp;'Gas Useage'!$C$3:$AB$3,'Gas Useage'!$C$4:$AB$15))/_xlfn.XLOOKUP($B16&amp;E$15,'Gas Useage'!$A$4:$A$15&amp;'Gas Useage'!$B$4:$B$15,_xlfn.XLOOKUP(E$14,'Gas Useage'!$AA$3:$AB$3,'Gas Useage'!$AA$4:$AB$15))</f>
        <v>2.8500320498423964E-3</v>
      </c>
      <c r="F16" s="255" cm="1">
        <f t="array" aca="1" ref="F16" ca="1">_xlfn.XLOOKUP(F$13,INDIRECT("'"&amp;$B16&amp;" EI'!$B$6:$B$53"),_xlfn.XLOOKUP($C$10,INDIRECT("'"&amp;$B16&amp;" EI'!$D$4:$Z$4"),INDIRECT("'"&amp;$B16&amp;" EI'!$D$6:$Z$53")))*_xlfn.XLOOKUP($B16&amp;F$15,'Gas Useage'!$A$4:$A$15&amp;'Gas Useage'!$B$4:$B$15,_xlfn.XLOOKUP($C16&amp;F$14,'Gas Useage'!$C$2:$AB$2&amp;'Gas Useage'!$C$3:$AB$3,'Gas Useage'!$C$4:$AB$15))/_xlfn.XLOOKUP($B16&amp;F$15,'Gas Useage'!$A$4:$A$15&amp;'Gas Useage'!$B$4:$B$15,_xlfn.XLOOKUP(F$14,'Gas Useage'!$AA$3:$AB$3,'Gas Useage'!$AA$4:$AB$15))</f>
        <v>1.1377100949951983E-2</v>
      </c>
      <c r="G16" s="255" cm="1">
        <f t="array" aca="1" ref="G16" ca="1">_xlfn.XLOOKUP(G$13,INDIRECT("'"&amp;$B16&amp;" EI'!$B$6:$B$53"),_xlfn.XLOOKUP($C$10,INDIRECT("'"&amp;$B16&amp;" EI'!$D$4:$Z$4"),INDIRECT("'"&amp;$B16&amp;" EI'!$D$6:$Z$53")))*_xlfn.XLOOKUP($B16&amp;G$15,'Gas Useage'!$A$4:$A$15&amp;'Gas Useage'!$B$4:$B$15,_xlfn.XLOOKUP($C16&amp;G$14,'Gas Useage'!$C$2:$AB$2&amp;'Gas Useage'!$C$3:$AB$3,'Gas Useage'!$C$4:$AB$15))/_xlfn.XLOOKUP($B16&amp;G$15,'Gas Useage'!$A$4:$A$15&amp;'Gas Useage'!$B$4:$B$15,_xlfn.XLOOKUP(G$14,'Gas Useage'!$AA$3:$AB$3,'Gas Useage'!$AA$4:$AB$15))</f>
        <v>3.7311097252163872E-3</v>
      </c>
      <c r="H16" s="256" t="s">
        <v>278</v>
      </c>
      <c r="I16" s="256" t="s">
        <v>278</v>
      </c>
      <c r="J16" s="256" t="s">
        <v>278</v>
      </c>
      <c r="K16" s="257" t="s">
        <v>278</v>
      </c>
      <c r="N16" s="258"/>
    </row>
    <row r="17" spans="2:14" ht="13.5" hidden="1" x14ac:dyDescent="0.25">
      <c r="B17" s="32">
        <v>2020</v>
      </c>
      <c r="C17" s="198" t="s">
        <v>279</v>
      </c>
      <c r="D17" s="259" cm="1">
        <f t="array" aca="1" ref="D17" ca="1">_xlfn.XLOOKUP(D$13,INDIRECT("'"&amp;$B17&amp;" EI'!$B$6:$B$53"),_xlfn.XLOOKUP($C$10,INDIRECT("'"&amp;$B17&amp;" EI'!$D$4:$Z$4"),INDIRECT("'"&amp;$B17&amp;" EI'!$D$6:$Z$53")))*_xlfn.XLOOKUP($B17&amp;D$15,'Gas Useage'!$A$4:$A$15&amp;'Gas Useage'!$B$4:$B$15,_xlfn.XLOOKUP($C17&amp;D$14,'Gas Useage'!$C$2:$AB$2&amp;'Gas Useage'!$C$3:$AB$3,'Gas Useage'!$C$4:$AB$15))/_xlfn.XLOOKUP($B17&amp;D$15,'Gas Useage'!$A$4:$A$15&amp;'Gas Useage'!$B$4:$B$15,_xlfn.XLOOKUP(D$14,'Gas Useage'!$AA$3:$AB$3,'Gas Useage'!$AA$4:$AB$15))</f>
        <v>1.4406968330348796E-2</v>
      </c>
      <c r="E17" s="259" cm="1">
        <f t="array" aca="1" ref="E17" ca="1">_xlfn.XLOOKUP(E$13,INDIRECT("'"&amp;$B17&amp;" EI'!$B$6:$B$53"),_xlfn.XLOOKUP($C$10,INDIRECT("'"&amp;$B17&amp;" EI'!$D$4:$Z$4"),INDIRECT("'"&amp;$B17&amp;" EI'!$D$6:$Z$53")))*_xlfn.XLOOKUP($B17&amp;E$15,'Gas Useage'!$A$4:$A$15&amp;'Gas Useage'!$B$4:$B$15,_xlfn.XLOOKUP($C17&amp;E$14,'Gas Useage'!$C$2:$AB$2&amp;'Gas Useage'!$C$3:$AB$3,'Gas Useage'!$C$4:$AB$15))/_xlfn.XLOOKUP($B17&amp;E$15,'Gas Useage'!$A$4:$A$15&amp;'Gas Useage'!$B$4:$B$15,_xlfn.XLOOKUP(E$14,'Gas Useage'!$AA$3:$AB$3,'Gas Useage'!$AA$4:$AB$15))</f>
        <v>5.9144057295023762E-3</v>
      </c>
      <c r="F17" s="259" cm="1">
        <f t="array" aca="1" ref="F17" ca="1">_xlfn.XLOOKUP(F$13,INDIRECT("'"&amp;$B17&amp;" EI'!$B$6:$B$53"),_xlfn.XLOOKUP($C$10,INDIRECT("'"&amp;$B17&amp;" EI'!$D$4:$Z$4"),INDIRECT("'"&amp;$B17&amp;" EI'!$D$6:$Z$53")))*_xlfn.XLOOKUP($B17&amp;F$15,'Gas Useage'!$A$4:$A$15&amp;'Gas Useage'!$B$4:$B$15,_xlfn.XLOOKUP($C17&amp;F$14,'Gas Useage'!$C$2:$AB$2&amp;'Gas Useage'!$C$3:$AB$3,'Gas Useage'!$C$4:$AB$15))/_xlfn.XLOOKUP($B17&amp;F$15,'Gas Useage'!$A$4:$A$15&amp;'Gas Useage'!$B$4:$B$15,_xlfn.XLOOKUP(F$14,'Gas Useage'!$AA$3:$AB$3,'Gas Useage'!$AA$4:$AB$15))</f>
        <v>1.1750303536005813E-2</v>
      </c>
      <c r="G17" s="259" cm="1">
        <f t="array" aca="1" ref="G17" ca="1">_xlfn.XLOOKUP(G$13,INDIRECT("'"&amp;$B17&amp;" EI'!$B$6:$B$53"),_xlfn.XLOOKUP($C$10,INDIRECT("'"&amp;$B17&amp;" EI'!$D$4:$Z$4"),INDIRECT("'"&amp;$B17&amp;" EI'!$D$6:$Z$53")))*_xlfn.XLOOKUP($B17&amp;G$15,'Gas Useage'!$A$4:$A$15&amp;'Gas Useage'!$B$4:$B$15,_xlfn.XLOOKUP($C17&amp;G$14,'Gas Useage'!$C$2:$AB$2&amp;'Gas Useage'!$C$3:$AB$3,'Gas Useage'!$C$4:$AB$15))/_xlfn.XLOOKUP($B17&amp;G$15,'Gas Useage'!$A$4:$A$15&amp;'Gas Useage'!$B$4:$B$15,_xlfn.XLOOKUP(G$14,'Gas Useage'!$AA$3:$AB$3,'Gas Useage'!$AA$4:$AB$15))</f>
        <v>4.8237811705568118E-3</v>
      </c>
      <c r="H17" s="260" t="s">
        <v>278</v>
      </c>
      <c r="I17" s="260" t="s">
        <v>278</v>
      </c>
      <c r="J17" s="260" t="s">
        <v>278</v>
      </c>
      <c r="K17" s="261" t="s">
        <v>278</v>
      </c>
      <c r="N17" s="258"/>
    </row>
    <row r="18" spans="2:14" ht="13.5" hidden="1" x14ac:dyDescent="0.25">
      <c r="B18" s="32">
        <v>2020</v>
      </c>
      <c r="C18" s="198" t="s">
        <v>280</v>
      </c>
      <c r="D18" s="259" cm="1">
        <f t="array" aca="1" ref="D18" ca="1">_xlfn.XLOOKUP(D$13,INDIRECT("'"&amp;$B18&amp;" EI'!$B$6:$B$53"),_xlfn.XLOOKUP($C$10,INDIRECT("'"&amp;$B18&amp;" EI'!$D$4:$Z$4"),INDIRECT("'"&amp;$B18&amp;" EI'!$D$6:$Z$53")))*_xlfn.XLOOKUP($B18&amp;D$15,'Gas Useage'!$A$4:$A$15&amp;'Gas Useage'!$B$4:$B$15,_xlfn.XLOOKUP($C18&amp;D$14,'Gas Useage'!$C$2:$AB$2&amp;'Gas Useage'!$C$3:$AB$3,'Gas Useage'!$C$4:$AB$15))/_xlfn.XLOOKUP($B18&amp;D$15,'Gas Useage'!$A$4:$A$15&amp;'Gas Useage'!$B$4:$B$15,_xlfn.XLOOKUP(D$14,'Gas Useage'!$AA$3:$AB$3,'Gas Useage'!$AA$4:$AB$15))</f>
        <v>1.4705086511702705E-2</v>
      </c>
      <c r="E18" s="259" cm="1">
        <f t="array" aca="1" ref="E18" ca="1">_xlfn.XLOOKUP(E$13,INDIRECT("'"&amp;$B18&amp;" EI'!$B$6:$B$53"),_xlfn.XLOOKUP($C$10,INDIRECT("'"&amp;$B18&amp;" EI'!$D$4:$Z$4"),INDIRECT("'"&amp;$B18&amp;" EI'!$D$6:$Z$53")))*_xlfn.XLOOKUP($B18&amp;E$15,'Gas Useage'!$A$4:$A$15&amp;'Gas Useage'!$B$4:$B$15,_xlfn.XLOOKUP($C18&amp;E$14,'Gas Useage'!$C$2:$AB$2&amp;'Gas Useage'!$C$3:$AB$3,'Gas Useage'!$C$4:$AB$15))/_xlfn.XLOOKUP($B18&amp;E$15,'Gas Useage'!$A$4:$A$15&amp;'Gas Useage'!$B$4:$B$15,_xlfn.XLOOKUP(E$14,'Gas Useage'!$AA$3:$AB$3,'Gas Useage'!$AA$4:$AB$15))</f>
        <v>6.3050502056276152E-3</v>
      </c>
      <c r="F18" s="259" cm="1">
        <f t="array" aca="1" ref="F18" ca="1">_xlfn.XLOOKUP(F$13,INDIRECT("'"&amp;$B18&amp;" EI'!$B$6:$B$53"),_xlfn.XLOOKUP($C$10,INDIRECT("'"&amp;$B18&amp;" EI'!$D$4:$Z$4"),INDIRECT("'"&amp;$B18&amp;" EI'!$D$6:$Z$53")))*_xlfn.XLOOKUP($B18&amp;F$15,'Gas Useage'!$A$4:$A$15&amp;'Gas Useage'!$B$4:$B$15,_xlfn.XLOOKUP($C18&amp;F$14,'Gas Useage'!$C$2:$AB$2&amp;'Gas Useage'!$C$3:$AB$3,'Gas Useage'!$C$4:$AB$15))/_xlfn.XLOOKUP($B18&amp;F$15,'Gas Useage'!$A$4:$A$15&amp;'Gas Useage'!$B$4:$B$15,_xlfn.XLOOKUP(F$14,'Gas Useage'!$AA$3:$AB$3,'Gas Useage'!$AA$4:$AB$15))</f>
        <v>9.1406480586622221E-3</v>
      </c>
      <c r="G18" s="259" cm="1">
        <f t="array" aca="1" ref="G18" ca="1">_xlfn.XLOOKUP(G$13,INDIRECT("'"&amp;$B18&amp;" EI'!$B$6:$B$53"),_xlfn.XLOOKUP($C$10,INDIRECT("'"&amp;$B18&amp;" EI'!$D$4:$Z$4"),INDIRECT("'"&amp;$B18&amp;" EI'!$D$6:$Z$53")))*_xlfn.XLOOKUP($B18&amp;G$15,'Gas Useage'!$A$4:$A$15&amp;'Gas Useage'!$B$4:$B$15,_xlfn.XLOOKUP($C18&amp;G$14,'Gas Useage'!$C$2:$AB$2&amp;'Gas Useage'!$C$3:$AB$3,'Gas Useage'!$C$4:$AB$15))/_xlfn.XLOOKUP($B18&amp;G$15,'Gas Useage'!$A$4:$A$15&amp;'Gas Useage'!$B$4:$B$15,_xlfn.XLOOKUP(G$14,'Gas Useage'!$AA$3:$AB$3,'Gas Useage'!$AA$4:$AB$15))</f>
        <v>3.9192047510888568E-3</v>
      </c>
      <c r="H18" s="260" t="s">
        <v>278</v>
      </c>
      <c r="I18" s="260" t="s">
        <v>278</v>
      </c>
      <c r="J18" s="260" t="s">
        <v>278</v>
      </c>
      <c r="K18" s="261" t="s">
        <v>278</v>
      </c>
      <c r="N18" s="258"/>
    </row>
    <row r="19" spans="2:14" ht="13.5" hidden="1" x14ac:dyDescent="0.25">
      <c r="B19" s="32">
        <v>2020</v>
      </c>
      <c r="C19" s="198" t="s">
        <v>281</v>
      </c>
      <c r="D19" s="259" cm="1">
        <f t="array" aca="1" ref="D19" ca="1">_xlfn.XLOOKUP(D$13,INDIRECT("'"&amp;$B19&amp;" EI'!$B$6:$B$53"),_xlfn.XLOOKUP($C$10,INDIRECT("'"&amp;$B19&amp;" EI'!$D$4:$Z$4"),INDIRECT("'"&amp;$B19&amp;" EI'!$D$6:$Z$53")))*_xlfn.XLOOKUP($B19&amp;D$15,'Gas Useage'!$A$4:$A$15&amp;'Gas Useage'!$B$4:$B$15,_xlfn.XLOOKUP($C19&amp;D$14,'Gas Useage'!$C$2:$AB$2&amp;'Gas Useage'!$C$3:$AB$3,'Gas Useage'!$C$4:$AB$15))/_xlfn.XLOOKUP($B19&amp;D$15,'Gas Useage'!$A$4:$A$15&amp;'Gas Useage'!$B$4:$B$15,_xlfn.XLOOKUP(D$14,'Gas Useage'!$AA$3:$AB$3,'Gas Useage'!$AA$4:$AB$15))</f>
        <v>5.6981979662510005E-3</v>
      </c>
      <c r="E19" s="259" cm="1">
        <f t="array" aca="1" ref="E19" ca="1">_xlfn.XLOOKUP(E$13,INDIRECT("'"&amp;$B19&amp;" EI'!$B$6:$B$53"),_xlfn.XLOOKUP($C$10,INDIRECT("'"&amp;$B19&amp;" EI'!$D$4:$Z$4"),INDIRECT("'"&amp;$B19&amp;" EI'!$D$6:$Z$53")))*_xlfn.XLOOKUP($B19&amp;E$15,'Gas Useage'!$A$4:$A$15&amp;'Gas Useage'!$B$4:$B$15,_xlfn.XLOOKUP($C19&amp;E$14,'Gas Useage'!$C$2:$AB$2&amp;'Gas Useage'!$C$3:$AB$3,'Gas Useage'!$C$4:$AB$15))/_xlfn.XLOOKUP($B19&amp;E$15,'Gas Useage'!$A$4:$A$15&amp;'Gas Useage'!$B$4:$B$15,_xlfn.XLOOKUP(E$14,'Gas Useage'!$AA$3:$AB$3,'Gas Useage'!$AA$4:$AB$15))</f>
        <v>2.5002731979495096E-3</v>
      </c>
      <c r="F19" s="259" cm="1">
        <f t="array" aca="1" ref="F19" ca="1">_xlfn.XLOOKUP(F$13,INDIRECT("'"&amp;$B19&amp;" EI'!$B$6:$B$53"),_xlfn.XLOOKUP($C$10,INDIRECT("'"&amp;$B19&amp;" EI'!$D$4:$Z$4"),INDIRECT("'"&amp;$B19&amp;" EI'!$D$6:$Z$53")))*_xlfn.XLOOKUP($B19&amp;F$15,'Gas Useage'!$A$4:$A$15&amp;'Gas Useage'!$B$4:$B$15,_xlfn.XLOOKUP($C19&amp;F$14,'Gas Useage'!$C$2:$AB$2&amp;'Gas Useage'!$C$3:$AB$3,'Gas Useage'!$C$4:$AB$15))/_xlfn.XLOOKUP($B19&amp;F$15,'Gas Useage'!$A$4:$A$15&amp;'Gas Useage'!$B$4:$B$15,_xlfn.XLOOKUP(F$14,'Gas Useage'!$AA$3:$AB$3,'Gas Useage'!$AA$4:$AB$15))</f>
        <v>5.7172363824429485E-3</v>
      </c>
      <c r="G19" s="259" cm="1">
        <f t="array" aca="1" ref="G19" ca="1">_xlfn.XLOOKUP(G$13,INDIRECT("'"&amp;$B19&amp;" EI'!$B$6:$B$53"),_xlfn.XLOOKUP($C$10,INDIRECT("'"&amp;$B19&amp;" EI'!$D$4:$Z$4"),INDIRECT("'"&amp;$B19&amp;" EI'!$D$6:$Z$53")))*_xlfn.XLOOKUP($B19&amp;G$15,'Gas Useage'!$A$4:$A$15&amp;'Gas Useage'!$B$4:$B$15,_xlfn.XLOOKUP($C19&amp;G$14,'Gas Useage'!$C$2:$AB$2&amp;'Gas Useage'!$C$3:$AB$3,'Gas Useage'!$C$4:$AB$15))/_xlfn.XLOOKUP($B19&amp;G$15,'Gas Useage'!$A$4:$A$15&amp;'Gas Useage'!$B$4:$B$15,_xlfn.XLOOKUP(G$14,'Gas Useage'!$AA$3:$AB$3,'Gas Useage'!$AA$4:$AB$15))</f>
        <v>2.5086269339934428E-3</v>
      </c>
      <c r="H19" s="260" t="s">
        <v>278</v>
      </c>
      <c r="I19" s="260" t="s">
        <v>278</v>
      </c>
      <c r="J19" s="260" t="s">
        <v>278</v>
      </c>
      <c r="K19" s="261" t="s">
        <v>278</v>
      </c>
      <c r="N19" s="258"/>
    </row>
    <row r="20" spans="2:14" ht="13.5" hidden="1" x14ac:dyDescent="0.25">
      <c r="B20" s="32">
        <v>2020</v>
      </c>
      <c r="C20" s="198" t="s">
        <v>282</v>
      </c>
      <c r="D20" s="259" cm="1">
        <f t="array" aca="1" ref="D20" ca="1">_xlfn.XLOOKUP(D$13,INDIRECT("'"&amp;$B20&amp;" EI'!$B$6:$B$53"),_xlfn.XLOOKUP($C$10,INDIRECT("'"&amp;$B20&amp;" EI'!$D$4:$Z$4"),INDIRECT("'"&amp;$B20&amp;" EI'!$D$6:$Z$53")))*_xlfn.XLOOKUP($B20&amp;D$15,'Gas Useage'!$A$4:$A$15&amp;'Gas Useage'!$B$4:$B$15,_xlfn.XLOOKUP($C20&amp;D$14,'Gas Useage'!$C$2:$AB$2&amp;'Gas Useage'!$C$3:$AB$3,'Gas Useage'!$C$4:$AB$15))/_xlfn.XLOOKUP($B20&amp;D$15,'Gas Useage'!$A$4:$A$15&amp;'Gas Useage'!$B$4:$B$15,_xlfn.XLOOKUP(D$14,'Gas Useage'!$AA$3:$AB$3,'Gas Useage'!$AA$4:$AB$15))</f>
        <v>3.5714910143050589E-4</v>
      </c>
      <c r="E20" s="259" cm="1">
        <f t="array" aca="1" ref="E20" ca="1">_xlfn.XLOOKUP(E$13,INDIRECT("'"&amp;$B20&amp;" EI'!$B$6:$B$53"),_xlfn.XLOOKUP($C$10,INDIRECT("'"&amp;$B20&amp;" EI'!$D$4:$Z$4"),INDIRECT("'"&amp;$B20&amp;" EI'!$D$6:$Z$53")))*_xlfn.XLOOKUP($B20&amp;E$15,'Gas Useage'!$A$4:$A$15&amp;'Gas Useage'!$B$4:$B$15,_xlfn.XLOOKUP($C20&amp;E$14,'Gas Useage'!$C$2:$AB$2&amp;'Gas Useage'!$C$3:$AB$3,'Gas Useage'!$C$4:$AB$15))/_xlfn.XLOOKUP($B20&amp;E$15,'Gas Useage'!$A$4:$A$15&amp;'Gas Useage'!$B$4:$B$15,_xlfn.XLOOKUP(E$14,'Gas Useage'!$AA$3:$AB$3,'Gas Useage'!$AA$4:$AB$15))</f>
        <v>9.1327483735545749E-5</v>
      </c>
      <c r="F20" s="259" cm="1">
        <f t="array" aca="1" ref="F20" ca="1">_xlfn.XLOOKUP(F$13,INDIRECT("'"&amp;$B20&amp;" EI'!$B$6:$B$53"),_xlfn.XLOOKUP($C$10,INDIRECT("'"&amp;$B20&amp;" EI'!$D$4:$Z$4"),INDIRECT("'"&amp;$B20&amp;" EI'!$D$6:$Z$53")))*_xlfn.XLOOKUP($B20&amp;F$15,'Gas Useage'!$A$4:$A$15&amp;'Gas Useage'!$B$4:$B$15,_xlfn.XLOOKUP($C20&amp;F$14,'Gas Useage'!$C$2:$AB$2&amp;'Gas Useage'!$C$3:$AB$3,'Gas Useage'!$C$4:$AB$15))/_xlfn.XLOOKUP($B20&amp;F$15,'Gas Useage'!$A$4:$A$15&amp;'Gas Useage'!$B$4:$B$15,_xlfn.XLOOKUP(F$14,'Gas Useage'!$AA$3:$AB$3,'Gas Useage'!$AA$4:$AB$15))</f>
        <v>1.7253200921084575E-7</v>
      </c>
      <c r="G20" s="259" cm="1">
        <f t="array" aca="1" ref="G20" ca="1">_xlfn.XLOOKUP(G$13,INDIRECT("'"&amp;$B20&amp;" EI'!$B$6:$B$53"),_xlfn.XLOOKUP($C$10,INDIRECT("'"&amp;$B20&amp;" EI'!$D$4:$Z$4"),INDIRECT("'"&amp;$B20&amp;" EI'!$D$6:$Z$53")))*_xlfn.XLOOKUP($B20&amp;G$15,'Gas Useage'!$A$4:$A$15&amp;'Gas Useage'!$B$4:$B$15,_xlfn.XLOOKUP($C20&amp;G$14,'Gas Useage'!$C$2:$AB$2&amp;'Gas Useage'!$C$3:$AB$3,'Gas Useage'!$C$4:$AB$15))/_xlfn.XLOOKUP($B20&amp;G$15,'Gas Useage'!$A$4:$A$15&amp;'Gas Useage'!$B$4:$B$15,_xlfn.XLOOKUP(G$14,'Gas Useage'!$AA$3:$AB$3,'Gas Useage'!$AA$4:$AB$15))</f>
        <v>4.4118588572539163E-8</v>
      </c>
      <c r="H20" s="260" t="s">
        <v>278</v>
      </c>
      <c r="I20" s="260" t="s">
        <v>278</v>
      </c>
      <c r="J20" s="260" t="s">
        <v>278</v>
      </c>
      <c r="K20" s="261" t="s">
        <v>278</v>
      </c>
      <c r="N20" s="258"/>
    </row>
    <row r="21" spans="2:14" ht="13.5" hidden="1" x14ac:dyDescent="0.25">
      <c r="B21" s="32">
        <v>2020</v>
      </c>
      <c r="C21" s="198" t="s">
        <v>283</v>
      </c>
      <c r="D21" s="259" cm="1">
        <f t="array" aca="1" ref="D21" ca="1">_xlfn.XLOOKUP(D$13,INDIRECT("'"&amp;$B21&amp;" EI'!$B$6:$B$53"),_xlfn.XLOOKUP($C$10,INDIRECT("'"&amp;$B21&amp;" EI'!$D$4:$Z$4"),INDIRECT("'"&amp;$B21&amp;" EI'!$D$6:$Z$53")))*_xlfn.XLOOKUP($B21&amp;D$15,'Gas Useage'!$A$4:$A$15&amp;'Gas Useage'!$B$4:$B$15,_xlfn.XLOOKUP($C21&amp;D$14,'Gas Useage'!$C$2:$AB$2&amp;'Gas Useage'!$C$3:$AB$3,'Gas Useage'!$C$4:$AB$15))/_xlfn.XLOOKUP($B21&amp;D$15,'Gas Useage'!$A$4:$A$15&amp;'Gas Useage'!$B$4:$B$15,_xlfn.XLOOKUP(D$14,'Gas Useage'!$AA$3:$AB$3,'Gas Useage'!$AA$4:$AB$15))</f>
        <v>0</v>
      </c>
      <c r="E21" s="259" cm="1">
        <f t="array" aca="1" ref="E21" ca="1">_xlfn.XLOOKUP(E$13,INDIRECT("'"&amp;$B21&amp;" EI'!$B$6:$B$53"),_xlfn.XLOOKUP($C$10,INDIRECT("'"&amp;$B21&amp;" EI'!$D$4:$Z$4"),INDIRECT("'"&amp;$B21&amp;" EI'!$D$6:$Z$53")))*_xlfn.XLOOKUP($B21&amp;E$15,'Gas Useage'!$A$4:$A$15&amp;'Gas Useage'!$B$4:$B$15,_xlfn.XLOOKUP($C21&amp;E$14,'Gas Useage'!$C$2:$AB$2&amp;'Gas Useage'!$C$3:$AB$3,'Gas Useage'!$C$4:$AB$15))/_xlfn.XLOOKUP($B21&amp;E$15,'Gas Useage'!$A$4:$A$15&amp;'Gas Useage'!$B$4:$B$15,_xlfn.XLOOKUP(E$14,'Gas Useage'!$AA$3:$AB$3,'Gas Useage'!$AA$4:$AB$15))</f>
        <v>0</v>
      </c>
      <c r="F21" s="259" cm="1">
        <f t="array" aca="1" ref="F21" ca="1">_xlfn.XLOOKUP(F$13,INDIRECT("'"&amp;$B21&amp;" EI'!$B$6:$B$53"),_xlfn.XLOOKUP($C$10,INDIRECT("'"&amp;$B21&amp;" EI'!$D$4:$Z$4"),INDIRECT("'"&amp;$B21&amp;" EI'!$D$6:$Z$53")))*_xlfn.XLOOKUP($B21&amp;F$15,'Gas Useage'!$A$4:$A$15&amp;'Gas Useage'!$B$4:$B$15,_xlfn.XLOOKUP($C21&amp;F$14,'Gas Useage'!$C$2:$AB$2&amp;'Gas Useage'!$C$3:$AB$3,'Gas Useage'!$C$4:$AB$15))/_xlfn.XLOOKUP($B21&amp;F$15,'Gas Useage'!$A$4:$A$15&amp;'Gas Useage'!$B$4:$B$15,_xlfn.XLOOKUP(F$14,'Gas Useage'!$AA$3:$AB$3,'Gas Useage'!$AA$4:$AB$15))</f>
        <v>0</v>
      </c>
      <c r="G21" s="259" cm="1">
        <f t="array" aca="1" ref="G21" ca="1">_xlfn.XLOOKUP(G$13,INDIRECT("'"&amp;$B21&amp;" EI'!$B$6:$B$53"),_xlfn.XLOOKUP($C$10,INDIRECT("'"&amp;$B21&amp;" EI'!$D$4:$Z$4"),INDIRECT("'"&amp;$B21&amp;" EI'!$D$6:$Z$53")))*_xlfn.XLOOKUP($B21&amp;G$15,'Gas Useage'!$A$4:$A$15&amp;'Gas Useage'!$B$4:$B$15,_xlfn.XLOOKUP($C21&amp;G$14,'Gas Useage'!$C$2:$AB$2&amp;'Gas Useage'!$C$3:$AB$3,'Gas Useage'!$C$4:$AB$15))/_xlfn.XLOOKUP($B21&amp;G$15,'Gas Useage'!$A$4:$A$15&amp;'Gas Useage'!$B$4:$B$15,_xlfn.XLOOKUP(G$14,'Gas Useage'!$AA$3:$AB$3,'Gas Useage'!$AA$4:$AB$15))</f>
        <v>0</v>
      </c>
      <c r="H21" s="260" t="s">
        <v>278</v>
      </c>
      <c r="I21" s="260" t="s">
        <v>278</v>
      </c>
      <c r="J21" s="260" t="s">
        <v>278</v>
      </c>
      <c r="K21" s="261" t="s">
        <v>278</v>
      </c>
      <c r="N21" s="258"/>
    </row>
    <row r="22" spans="2:14" ht="13.5" hidden="1" x14ac:dyDescent="0.25">
      <c r="B22" s="32">
        <v>2020</v>
      </c>
      <c r="C22" s="198" t="s">
        <v>284</v>
      </c>
      <c r="D22" s="259" cm="1">
        <f t="array" aca="1" ref="D22" ca="1">_xlfn.XLOOKUP(D$13,INDIRECT("'"&amp;$B22&amp;" EI'!$B$6:$B$53"),_xlfn.XLOOKUP($C$10,INDIRECT("'"&amp;$B22&amp;" EI'!$D$4:$Z$4"),INDIRECT("'"&amp;$B22&amp;" EI'!$D$6:$Z$53")))*_xlfn.XLOOKUP($B22&amp;D$15,'Gas Useage'!$A$4:$A$15&amp;'Gas Useage'!$B$4:$B$15,_xlfn.XLOOKUP($C22&amp;D$14,'Gas Useage'!$C$2:$AB$2&amp;'Gas Useage'!$C$3:$AB$3,'Gas Useage'!$C$4:$AB$15))/_xlfn.XLOOKUP($B22&amp;D$15,'Gas Useage'!$A$4:$A$15&amp;'Gas Useage'!$B$4:$B$15,_xlfn.XLOOKUP(D$14,'Gas Useage'!$AA$3:$AB$3,'Gas Useage'!$AA$4:$AB$15))</f>
        <v>1.4358563930555322E-2</v>
      </c>
      <c r="E22" s="259" cm="1">
        <f t="array" aca="1" ref="E22" ca="1">_xlfn.XLOOKUP(E$13,INDIRECT("'"&amp;$B22&amp;" EI'!$B$6:$B$53"),_xlfn.XLOOKUP($C$10,INDIRECT("'"&amp;$B22&amp;" EI'!$D$4:$Z$4"),INDIRECT("'"&amp;$B22&amp;" EI'!$D$6:$Z$53")))*_xlfn.XLOOKUP($B22&amp;E$15,'Gas Useage'!$A$4:$A$15&amp;'Gas Useage'!$B$4:$B$15,_xlfn.XLOOKUP($C22&amp;E$14,'Gas Useage'!$C$2:$AB$2&amp;'Gas Useage'!$C$3:$AB$3,'Gas Useage'!$C$4:$AB$15))/_xlfn.XLOOKUP($B22&amp;E$15,'Gas Useage'!$A$4:$A$15&amp;'Gas Useage'!$B$4:$B$15,_xlfn.XLOOKUP(E$14,'Gas Useage'!$AA$3:$AB$3,'Gas Useage'!$AA$4:$AB$15))</f>
        <v>5.8570595780284007E-3</v>
      </c>
      <c r="F22" s="259" cm="1">
        <f t="array" aca="1" ref="F22" ca="1">_xlfn.XLOOKUP(F$13,INDIRECT("'"&amp;$B22&amp;" EI'!$B$6:$B$53"),_xlfn.XLOOKUP($C$10,INDIRECT("'"&amp;$B22&amp;" EI'!$D$4:$Z$4"),INDIRECT("'"&amp;$B22&amp;" EI'!$D$6:$Z$53")))*_xlfn.XLOOKUP($B22&amp;F$15,'Gas Useage'!$A$4:$A$15&amp;'Gas Useage'!$B$4:$B$15,_xlfn.XLOOKUP($C22&amp;F$14,'Gas Useage'!$C$2:$AB$2&amp;'Gas Useage'!$C$3:$AB$3,'Gas Useage'!$C$4:$AB$15))/_xlfn.XLOOKUP($B22&amp;F$15,'Gas Useage'!$A$4:$A$15&amp;'Gas Useage'!$B$4:$B$15,_xlfn.XLOOKUP(F$14,'Gas Useage'!$AA$3:$AB$3,'Gas Useage'!$AA$4:$AB$15))</f>
        <v>9.0251613361166643E-3</v>
      </c>
      <c r="G22" s="259" cm="1">
        <f t="array" aca="1" ref="G22" ca="1">_xlfn.XLOOKUP(G$13,INDIRECT("'"&amp;$B22&amp;" EI'!$B$6:$B$53"),_xlfn.XLOOKUP($C$10,INDIRECT("'"&amp;$B22&amp;" EI'!$D$4:$Z$4"),INDIRECT("'"&amp;$B22&amp;" EI'!$D$6:$Z$53")))*_xlfn.XLOOKUP($B22&amp;G$15,'Gas Useage'!$A$4:$A$15&amp;'Gas Useage'!$B$4:$B$15,_xlfn.XLOOKUP($C22&amp;G$14,'Gas Useage'!$C$2:$AB$2&amp;'Gas Useage'!$C$3:$AB$3,'Gas Useage'!$C$4:$AB$15))/_xlfn.XLOOKUP($B22&amp;G$15,'Gas Useage'!$A$4:$A$15&amp;'Gas Useage'!$B$4:$B$15,_xlfn.XLOOKUP(G$14,'Gas Useage'!$AA$3:$AB$3,'Gas Useage'!$AA$4:$AB$15))</f>
        <v>3.681489869224638E-3</v>
      </c>
      <c r="H22" s="260" t="s">
        <v>278</v>
      </c>
      <c r="I22" s="260" t="s">
        <v>278</v>
      </c>
      <c r="J22" s="260" t="s">
        <v>278</v>
      </c>
      <c r="K22" s="261" t="s">
        <v>278</v>
      </c>
      <c r="N22" s="258"/>
    </row>
    <row r="23" spans="2:14" ht="13.5" hidden="1" x14ac:dyDescent="0.25">
      <c r="B23" s="32">
        <v>2020</v>
      </c>
      <c r="C23" s="198" t="s">
        <v>285</v>
      </c>
      <c r="D23" s="259" cm="1">
        <f t="array" aca="1" ref="D23" ca="1">_xlfn.XLOOKUP(D$13,INDIRECT("'"&amp;$B23&amp;" EI'!$B$6:$B$53"),_xlfn.XLOOKUP($C$10,INDIRECT("'"&amp;$B23&amp;" EI'!$D$4:$Z$4"),INDIRECT("'"&amp;$B23&amp;" EI'!$D$6:$Z$53")))*_xlfn.XLOOKUP($B23&amp;D$15,'Gas Useage'!$A$4:$A$15&amp;'Gas Useage'!$B$4:$B$15,_xlfn.XLOOKUP($C23&amp;D$14,'Gas Useage'!$C$2:$AB$2&amp;'Gas Useage'!$C$3:$AB$3,'Gas Useage'!$C$4:$AB$15))/_xlfn.XLOOKUP($B23&amp;D$15,'Gas Useage'!$A$4:$A$15&amp;'Gas Useage'!$B$4:$B$15,_xlfn.XLOOKUP(D$14,'Gas Useage'!$AA$3:$AB$3,'Gas Useage'!$AA$4:$AB$15))</f>
        <v>1.4441909024490902E-2</v>
      </c>
      <c r="E23" s="259" cm="1">
        <f t="array" aca="1" ref="E23" ca="1">_xlfn.XLOOKUP(E$13,INDIRECT("'"&amp;$B23&amp;" EI'!$B$6:$B$53"),_xlfn.XLOOKUP($C$10,INDIRECT("'"&amp;$B23&amp;" EI'!$D$4:$Z$4"),INDIRECT("'"&amp;$B23&amp;" EI'!$D$6:$Z$53")))*_xlfn.XLOOKUP($B23&amp;E$15,'Gas Useage'!$A$4:$A$15&amp;'Gas Useage'!$B$4:$B$15,_xlfn.XLOOKUP($C23&amp;E$14,'Gas Useage'!$C$2:$AB$2&amp;'Gas Useage'!$C$3:$AB$3,'Gas Useage'!$C$4:$AB$15))/_xlfn.XLOOKUP($B23&amp;E$15,'Gas Useage'!$A$4:$A$15&amp;'Gas Useage'!$B$4:$B$15,_xlfn.XLOOKUP(E$14,'Gas Useage'!$AA$3:$AB$3,'Gas Useage'!$AA$4:$AB$15))</f>
        <v>4.479298920432976E-3</v>
      </c>
      <c r="F23" s="259" cm="1">
        <f t="array" aca="1" ref="F23" ca="1">_xlfn.XLOOKUP(F$13,INDIRECT("'"&amp;$B23&amp;" EI'!$B$6:$B$53"),_xlfn.XLOOKUP($C$10,INDIRECT("'"&amp;$B23&amp;" EI'!$D$4:$Z$4"),INDIRECT("'"&amp;$B23&amp;" EI'!$D$6:$Z$53")))*_xlfn.XLOOKUP($B23&amp;F$15,'Gas Useage'!$A$4:$A$15&amp;'Gas Useage'!$B$4:$B$15,_xlfn.XLOOKUP($C23&amp;F$14,'Gas Useage'!$C$2:$AB$2&amp;'Gas Useage'!$C$3:$AB$3,'Gas Useage'!$C$4:$AB$15))/_xlfn.XLOOKUP($B23&amp;F$15,'Gas Useage'!$A$4:$A$15&amp;'Gas Useage'!$B$4:$B$15,_xlfn.XLOOKUP(F$14,'Gas Useage'!$AA$3:$AB$3,'Gas Useage'!$AA$4:$AB$15))</f>
        <v>1.6731635964600613E-3</v>
      </c>
      <c r="G23" s="259" cm="1">
        <f t="array" aca="1" ref="G23" ca="1">_xlfn.XLOOKUP(G$13,INDIRECT("'"&amp;$B23&amp;" EI'!$B$6:$B$53"),_xlfn.XLOOKUP($C$10,INDIRECT("'"&amp;$B23&amp;" EI'!$D$4:$Z$4"),INDIRECT("'"&amp;$B23&amp;" EI'!$D$6:$Z$53")))*_xlfn.XLOOKUP($B23&amp;G$15,'Gas Useage'!$A$4:$A$15&amp;'Gas Useage'!$B$4:$B$15,_xlfn.XLOOKUP($C23&amp;G$14,'Gas Useage'!$C$2:$AB$2&amp;'Gas Useage'!$C$3:$AB$3,'Gas Useage'!$C$4:$AB$15))/_xlfn.XLOOKUP($B23&amp;G$15,'Gas Useage'!$A$4:$A$15&amp;'Gas Useage'!$B$4:$B$15,_xlfn.XLOOKUP(G$14,'Gas Useage'!$AA$3:$AB$3,'Gas Useage'!$AA$4:$AB$15))</f>
        <v>5.1894800601650401E-4</v>
      </c>
      <c r="H23" s="260" t="s">
        <v>278</v>
      </c>
      <c r="I23" s="260" t="s">
        <v>278</v>
      </c>
      <c r="J23" s="260" t="s">
        <v>278</v>
      </c>
      <c r="K23" s="261" t="s">
        <v>278</v>
      </c>
      <c r="N23" s="258"/>
    </row>
    <row r="24" spans="2:14" ht="13.5" hidden="1" x14ac:dyDescent="0.25">
      <c r="B24" s="32">
        <v>2020</v>
      </c>
      <c r="C24" s="198" t="s">
        <v>286</v>
      </c>
      <c r="D24" s="259" cm="1">
        <f t="array" aca="1" ref="D24" ca="1">_xlfn.XLOOKUP(D$13,INDIRECT("'"&amp;$B24&amp;" EI'!$B$6:$B$53"),_xlfn.XLOOKUP($C$10,INDIRECT("'"&amp;$B24&amp;" EI'!$D$4:$Z$4"),INDIRECT("'"&amp;$B24&amp;" EI'!$D$6:$Z$53")))*_xlfn.XLOOKUP($B24&amp;D$15,'Gas Useage'!$A$4:$A$15&amp;'Gas Useage'!$B$4:$B$15,_xlfn.XLOOKUP($C24&amp;D$14,'Gas Useage'!$C$2:$AB$2&amp;'Gas Useage'!$C$3:$AB$3,'Gas Useage'!$C$4:$AB$15))/_xlfn.XLOOKUP($B24&amp;D$15,'Gas Useage'!$A$4:$A$15&amp;'Gas Useage'!$B$4:$B$15,_xlfn.XLOOKUP(D$14,'Gas Useage'!$AA$3:$AB$3,'Gas Useage'!$AA$4:$AB$15))</f>
        <v>3.9646285587358445E-3</v>
      </c>
      <c r="E24" s="259" cm="1">
        <f t="array" aca="1" ref="E24" ca="1">_xlfn.XLOOKUP(E$13,INDIRECT("'"&amp;$B24&amp;" EI'!$B$6:$B$53"),_xlfn.XLOOKUP($C$10,INDIRECT("'"&amp;$B24&amp;" EI'!$D$4:$Z$4"),INDIRECT("'"&amp;$B24&amp;" EI'!$D$6:$Z$53")))*_xlfn.XLOOKUP($B24&amp;E$15,'Gas Useage'!$A$4:$A$15&amp;'Gas Useage'!$B$4:$B$15,_xlfn.XLOOKUP($C24&amp;E$14,'Gas Useage'!$C$2:$AB$2&amp;'Gas Useage'!$C$3:$AB$3,'Gas Useage'!$C$4:$AB$15))/_xlfn.XLOOKUP($B24&amp;E$15,'Gas Useage'!$A$4:$A$15&amp;'Gas Useage'!$B$4:$B$15,_xlfn.XLOOKUP(E$14,'Gas Useage'!$AA$3:$AB$3,'Gas Useage'!$AA$4:$AB$15))</f>
        <v>2.0059610152466183E-3</v>
      </c>
      <c r="F24" s="259" cm="1">
        <f t="array" aca="1" ref="F24" ca="1">_xlfn.XLOOKUP(F$13,INDIRECT("'"&amp;$B24&amp;" EI'!$B$6:$B$53"),_xlfn.XLOOKUP($C$10,INDIRECT("'"&amp;$B24&amp;" EI'!$D$4:$Z$4"),INDIRECT("'"&amp;$B24&amp;" EI'!$D$6:$Z$53")))*_xlfn.XLOOKUP($B24&amp;F$15,'Gas Useage'!$A$4:$A$15&amp;'Gas Useage'!$B$4:$B$15,_xlfn.XLOOKUP($C24&amp;F$14,'Gas Useage'!$C$2:$AB$2&amp;'Gas Useage'!$C$3:$AB$3,'Gas Useage'!$C$4:$AB$15))/_xlfn.XLOOKUP($B24&amp;F$15,'Gas Useage'!$A$4:$A$15&amp;'Gas Useage'!$B$4:$B$15,_xlfn.XLOOKUP(F$14,'Gas Useage'!$AA$3:$AB$3,'Gas Useage'!$AA$4:$AB$15))</f>
        <v>2.7141591835431022E-5</v>
      </c>
      <c r="G24" s="259" cm="1">
        <f t="array" aca="1" ref="G24" ca="1">_xlfn.XLOOKUP(G$13,INDIRECT("'"&amp;$B24&amp;" EI'!$B$6:$B$53"),_xlfn.XLOOKUP($C$10,INDIRECT("'"&amp;$B24&amp;" EI'!$D$4:$Z$4"),INDIRECT("'"&amp;$B24&amp;" EI'!$D$6:$Z$53")))*_xlfn.XLOOKUP($B24&amp;G$15,'Gas Useage'!$A$4:$A$15&amp;'Gas Useage'!$B$4:$B$15,_xlfn.XLOOKUP($C24&amp;G$14,'Gas Useage'!$C$2:$AB$2&amp;'Gas Useage'!$C$3:$AB$3,'Gas Useage'!$C$4:$AB$15))/_xlfn.XLOOKUP($B24&amp;G$15,'Gas Useage'!$A$4:$A$15&amp;'Gas Useage'!$B$4:$B$15,_xlfn.XLOOKUP(G$14,'Gas Useage'!$AA$3:$AB$3,'Gas Useage'!$AA$4:$AB$15))</f>
        <v>1.3732679948956124E-5</v>
      </c>
      <c r="H24" s="260" t="s">
        <v>278</v>
      </c>
      <c r="I24" s="260" t="s">
        <v>278</v>
      </c>
      <c r="J24" s="260" t="s">
        <v>278</v>
      </c>
      <c r="K24" s="261" t="s">
        <v>278</v>
      </c>
      <c r="N24" s="258"/>
    </row>
    <row r="25" spans="2:14" ht="13.5" x14ac:dyDescent="0.25">
      <c r="B25" s="32">
        <v>2020</v>
      </c>
      <c r="C25" s="494" t="s">
        <v>287</v>
      </c>
      <c r="D25" s="259" cm="1">
        <f t="array" aca="1" ref="D25" ca="1">_xlfn.XLOOKUP(D$13,INDIRECT("'"&amp;$B25&amp;" EI'!$B$6:$B$53"),_xlfn.XLOOKUP($C$10,INDIRECT("'"&amp;$B25&amp;" EI'!$D$4:$Z$4"),INDIRECT("'"&amp;$B25&amp;" EI'!$D$6:$Z$53")))*_xlfn.XLOOKUP($B25&amp;D$15,'Gas Useage'!$A$4:$A$15&amp;'Gas Useage'!$B$4:$B$15,_xlfn.XLOOKUP($C25&amp;D$14,'Gas Useage'!$C$2:$AB$2&amp;'Gas Useage'!$C$3:$AB$3,'Gas Useage'!$C$4:$AB$15))/_xlfn.XLOOKUP($B25&amp;D$15,'Gas Useage'!$A$4:$A$15&amp;'Gas Useage'!$B$4:$B$15,_xlfn.XLOOKUP(D$14,'Gas Useage'!$AA$3:$AB$3,'Gas Useage'!$AA$4:$AB$15))</f>
        <v>4.6117208221166574E-3</v>
      </c>
      <c r="E25" s="259" cm="1">
        <f t="array" aca="1" ref="E25" ca="1">_xlfn.XLOOKUP(E$13,INDIRECT("'"&amp;$B25&amp;" EI'!$B$6:$B$53"),_xlfn.XLOOKUP($C$10,INDIRECT("'"&amp;$B25&amp;" EI'!$D$4:$Z$4"),INDIRECT("'"&amp;$B25&amp;" EI'!$D$6:$Z$53")))*_xlfn.XLOOKUP($B25&amp;E$15,'Gas Useage'!$A$4:$A$15&amp;'Gas Useage'!$B$4:$B$15,_xlfn.XLOOKUP($C25&amp;E$14,'Gas Useage'!$C$2:$AB$2&amp;'Gas Useage'!$C$3:$AB$3,'Gas Useage'!$C$4:$AB$15))/_xlfn.XLOOKUP($B25&amp;E$15,'Gas Useage'!$A$4:$A$15&amp;'Gas Useage'!$B$4:$B$15,_xlfn.XLOOKUP(E$14,'Gas Useage'!$AA$3:$AB$3,'Gas Useage'!$AA$4:$AB$15))</f>
        <v>1.6291409823370774E-3</v>
      </c>
      <c r="F25" s="259" cm="1">
        <f t="array" aca="1" ref="F25" ca="1">_xlfn.XLOOKUP(F$13,INDIRECT("'"&amp;$B25&amp;" EI'!$B$6:$B$53"),_xlfn.XLOOKUP($C$10,INDIRECT("'"&amp;$B25&amp;" EI'!$D$4:$Z$4"),INDIRECT("'"&amp;$B25&amp;" EI'!$D$6:$Z$53")))*_xlfn.XLOOKUP($B25&amp;F$15,'Gas Useage'!$A$4:$A$15&amp;'Gas Useage'!$B$4:$B$15,_xlfn.XLOOKUP($C25&amp;F$14,'Gas Useage'!$C$2:$AB$2&amp;'Gas Useage'!$C$3:$AB$3,'Gas Useage'!$C$4:$AB$15))/_xlfn.XLOOKUP($B25&amp;F$15,'Gas Useage'!$A$4:$A$15&amp;'Gas Useage'!$B$4:$B$15,_xlfn.XLOOKUP(F$14,'Gas Useage'!$AA$3:$AB$3,'Gas Useage'!$AA$4:$AB$15))</f>
        <v>1.0665332138608282E-2</v>
      </c>
      <c r="G25" s="259" cm="1">
        <f t="array" aca="1" ref="G25" ca="1">_xlfn.XLOOKUP(G$13,INDIRECT("'"&amp;$B25&amp;" EI'!$B$6:$B$53"),_xlfn.XLOOKUP($C$10,INDIRECT("'"&amp;$B25&amp;" EI'!$D$4:$Z$4"),INDIRECT("'"&amp;$B25&amp;" EI'!$D$6:$Z$53")))*_xlfn.XLOOKUP($B25&amp;G$15,'Gas Useage'!$A$4:$A$15&amp;'Gas Useage'!$B$4:$B$15,_xlfn.XLOOKUP($C25&amp;G$14,'Gas Useage'!$C$2:$AB$2&amp;'Gas Useage'!$C$3:$AB$3,'Gas Useage'!$C$4:$AB$15))/_xlfn.XLOOKUP($B25&amp;G$15,'Gas Useage'!$A$4:$A$15&amp;'Gas Useage'!$B$4:$B$15,_xlfn.XLOOKUP(G$14,'Gas Useage'!$AA$3:$AB$3,'Gas Useage'!$AA$4:$AB$15))</f>
        <v>3.7676456028985484E-3</v>
      </c>
      <c r="H25" s="260" t="s">
        <v>278</v>
      </c>
      <c r="I25" s="260" t="s">
        <v>278</v>
      </c>
      <c r="J25" s="260" t="s">
        <v>278</v>
      </c>
      <c r="K25" s="261" t="s">
        <v>278</v>
      </c>
      <c r="N25" s="258"/>
    </row>
    <row r="26" spans="2:14" ht="13.5" x14ac:dyDescent="0.25">
      <c r="B26" s="32">
        <v>2020</v>
      </c>
      <c r="C26" s="494" t="s">
        <v>288</v>
      </c>
      <c r="D26" s="259" cm="1">
        <f t="array" aca="1" ref="D26" ca="1">_xlfn.XLOOKUP(D$13,INDIRECT("'"&amp;$B26&amp;" EI'!$B$6:$B$53"),_xlfn.XLOOKUP($C$10,INDIRECT("'"&amp;$B26&amp;" EI'!$D$4:$Z$4"),INDIRECT("'"&amp;$B26&amp;" EI'!$D$6:$Z$53")))*_xlfn.XLOOKUP($B26&amp;D$15,'Gas Useage'!$A$4:$A$15&amp;'Gas Useage'!$B$4:$B$15,_xlfn.XLOOKUP($C26&amp;D$14,'Gas Useage'!$C$2:$AB$2&amp;'Gas Useage'!$C$3:$AB$3,'Gas Useage'!$C$4:$AB$15))/_xlfn.XLOOKUP($B26&amp;D$15,'Gas Useage'!$A$4:$A$15&amp;'Gas Useage'!$B$4:$B$15,_xlfn.XLOOKUP(D$14,'Gas Useage'!$AA$3:$AB$3,'Gas Useage'!$AA$4:$AB$15))</f>
        <v>9.9438020805736119E-3</v>
      </c>
      <c r="E26" s="259" cm="1">
        <f t="array" aca="1" ref="E26" ca="1">_xlfn.XLOOKUP(E$13,INDIRECT("'"&amp;$B26&amp;" EI'!$B$6:$B$53"),_xlfn.XLOOKUP($C$10,INDIRECT("'"&amp;$B26&amp;" EI'!$D$4:$Z$4"),INDIRECT("'"&amp;$B26&amp;" EI'!$D$6:$Z$53")))*_xlfn.XLOOKUP($B26&amp;E$15,'Gas Useage'!$A$4:$A$15&amp;'Gas Useage'!$B$4:$B$15,_xlfn.XLOOKUP($C26&amp;E$14,'Gas Useage'!$C$2:$AB$2&amp;'Gas Useage'!$C$3:$AB$3,'Gas Useage'!$C$4:$AB$15))/_xlfn.XLOOKUP($B26&amp;E$15,'Gas Useage'!$A$4:$A$15&amp;'Gas Useage'!$B$4:$B$15,_xlfn.XLOOKUP(E$14,'Gas Useage'!$AA$3:$AB$3,'Gas Useage'!$AA$4:$AB$15))</f>
        <v>4.7456440704627244E-3</v>
      </c>
      <c r="F26" s="259" cm="1">
        <f t="array" aca="1" ref="F26" ca="1">_xlfn.XLOOKUP(F$13,INDIRECT("'"&amp;$B26&amp;" EI'!$B$6:$B$53"),_xlfn.XLOOKUP($C$10,INDIRECT("'"&amp;$B26&amp;" EI'!$D$4:$Z$4"),INDIRECT("'"&amp;$B26&amp;" EI'!$D$6:$Z$53")))*_xlfn.XLOOKUP($B26&amp;F$15,'Gas Useage'!$A$4:$A$15&amp;'Gas Useage'!$B$4:$B$15,_xlfn.XLOOKUP($C26&amp;F$14,'Gas Useage'!$C$2:$AB$2&amp;'Gas Useage'!$C$3:$AB$3,'Gas Useage'!$C$4:$AB$15))/_xlfn.XLOOKUP($B26&amp;F$15,'Gas Useage'!$A$4:$A$15&amp;'Gas Useage'!$B$4:$B$15,_xlfn.XLOOKUP(F$14,'Gas Useage'!$AA$3:$AB$3,'Gas Useage'!$AA$4:$AB$15))</f>
        <v>1.5052019406754965E-2</v>
      </c>
      <c r="G26" s="259" cm="1">
        <f t="array" aca="1" ref="G26" ca="1">_xlfn.XLOOKUP(G$13,INDIRECT("'"&amp;$B26&amp;" EI'!$B$6:$B$53"),_xlfn.XLOOKUP($C$10,INDIRECT("'"&amp;$B26&amp;" EI'!$D$4:$Z$4"),INDIRECT("'"&amp;$B26&amp;" EI'!$D$6:$Z$53")))*_xlfn.XLOOKUP($B26&amp;G$15,'Gas Useage'!$A$4:$A$15&amp;'Gas Useage'!$B$4:$B$15,_xlfn.XLOOKUP($C26&amp;G$14,'Gas Useage'!$C$2:$AB$2&amp;'Gas Useage'!$C$3:$AB$3,'Gas Useage'!$C$4:$AB$15))/_xlfn.XLOOKUP($B26&amp;G$15,'Gas Useage'!$A$4:$A$15&amp;'Gas Useage'!$B$4:$B$15,_xlfn.XLOOKUP(G$14,'Gas Useage'!$AA$3:$AB$3,'Gas Useage'!$AA$4:$AB$15))</f>
        <v>7.1835225668566401E-3</v>
      </c>
      <c r="H26" s="260" t="s">
        <v>278</v>
      </c>
      <c r="I26" s="260" t="s">
        <v>278</v>
      </c>
      <c r="J26" s="260" t="s">
        <v>278</v>
      </c>
      <c r="K26" s="261" t="s">
        <v>278</v>
      </c>
      <c r="N26" s="258"/>
    </row>
    <row r="27" spans="2:14" ht="13.5" x14ac:dyDescent="0.25">
      <c r="B27" s="32">
        <v>2020</v>
      </c>
      <c r="C27" s="494" t="s">
        <v>289</v>
      </c>
      <c r="D27" s="259" cm="1">
        <f t="array" aca="1" ref="D27" ca="1">_xlfn.XLOOKUP(D$13,INDIRECT("'"&amp;$B27&amp;" EI'!$B$6:$B$53"),_xlfn.XLOOKUP($C$10,INDIRECT("'"&amp;$B27&amp;" EI'!$D$4:$Z$4"),INDIRECT("'"&amp;$B27&amp;" EI'!$D$6:$Z$53")))*_xlfn.XLOOKUP($B27&amp;D$15,'Gas Useage'!$A$4:$A$15&amp;'Gas Useage'!$B$4:$B$15,_xlfn.XLOOKUP($C27&amp;D$14,'Gas Useage'!$C$2:$AB$2&amp;'Gas Useage'!$C$3:$AB$3,'Gas Useage'!$C$4:$AB$15))/_xlfn.XLOOKUP($B27&amp;D$15,'Gas Useage'!$A$4:$A$15&amp;'Gas Useage'!$B$4:$B$15,_xlfn.XLOOKUP(D$14,'Gas Useage'!$AA$3:$AB$3,'Gas Useage'!$AA$4:$AB$15))</f>
        <v>9.9438020805736119E-3</v>
      </c>
      <c r="E27" s="259" cm="1">
        <f t="array" aca="1" ref="E27" ca="1">_xlfn.XLOOKUP(E$13,INDIRECT("'"&amp;$B27&amp;" EI'!$B$6:$B$53"),_xlfn.XLOOKUP($C$10,INDIRECT("'"&amp;$B27&amp;" EI'!$D$4:$Z$4"),INDIRECT("'"&amp;$B27&amp;" EI'!$D$6:$Z$53")))*_xlfn.XLOOKUP($B27&amp;E$15,'Gas Useage'!$A$4:$A$15&amp;'Gas Useage'!$B$4:$B$15,_xlfn.XLOOKUP($C27&amp;E$14,'Gas Useage'!$C$2:$AB$2&amp;'Gas Useage'!$C$3:$AB$3,'Gas Useage'!$C$4:$AB$15))/_xlfn.XLOOKUP($B27&amp;E$15,'Gas Useage'!$A$4:$A$15&amp;'Gas Useage'!$B$4:$B$15,_xlfn.XLOOKUP(E$14,'Gas Useage'!$AA$3:$AB$3,'Gas Useage'!$AA$4:$AB$15))</f>
        <v>4.7456440704627244E-3</v>
      </c>
      <c r="F27" s="259" cm="1">
        <f t="array" aca="1" ref="F27" ca="1">_xlfn.XLOOKUP(F$13,INDIRECT("'"&amp;$B27&amp;" EI'!$B$6:$B$53"),_xlfn.XLOOKUP($C$10,INDIRECT("'"&amp;$B27&amp;" EI'!$D$4:$Z$4"),INDIRECT("'"&amp;$B27&amp;" EI'!$D$6:$Z$53")))*_xlfn.XLOOKUP($B27&amp;F$15,'Gas Useage'!$A$4:$A$15&amp;'Gas Useage'!$B$4:$B$15,_xlfn.XLOOKUP($C27&amp;F$14,'Gas Useage'!$C$2:$AB$2&amp;'Gas Useage'!$C$3:$AB$3,'Gas Useage'!$C$4:$AB$15))/_xlfn.XLOOKUP($B27&amp;F$15,'Gas Useage'!$A$4:$A$15&amp;'Gas Useage'!$B$4:$B$15,_xlfn.XLOOKUP(F$14,'Gas Useage'!$AA$3:$AB$3,'Gas Useage'!$AA$4:$AB$15))</f>
        <v>1.5052019406754965E-2</v>
      </c>
      <c r="G27" s="259" cm="1">
        <f t="array" aca="1" ref="G27" ca="1">_xlfn.XLOOKUP(G$13,INDIRECT("'"&amp;$B27&amp;" EI'!$B$6:$B$53"),_xlfn.XLOOKUP($C$10,INDIRECT("'"&amp;$B27&amp;" EI'!$D$4:$Z$4"),INDIRECT("'"&amp;$B27&amp;" EI'!$D$6:$Z$53")))*_xlfn.XLOOKUP($B27&amp;G$15,'Gas Useage'!$A$4:$A$15&amp;'Gas Useage'!$B$4:$B$15,_xlfn.XLOOKUP($C27&amp;G$14,'Gas Useage'!$C$2:$AB$2&amp;'Gas Useage'!$C$3:$AB$3,'Gas Useage'!$C$4:$AB$15))/_xlfn.XLOOKUP($B27&amp;G$15,'Gas Useage'!$A$4:$A$15&amp;'Gas Useage'!$B$4:$B$15,_xlfn.XLOOKUP(G$14,'Gas Useage'!$AA$3:$AB$3,'Gas Useage'!$AA$4:$AB$15))</f>
        <v>7.1835225668566401E-3</v>
      </c>
      <c r="H27" s="260" t="s">
        <v>278</v>
      </c>
      <c r="I27" s="260" t="s">
        <v>278</v>
      </c>
      <c r="J27" s="260" t="s">
        <v>278</v>
      </c>
      <c r="K27" s="261" t="s">
        <v>278</v>
      </c>
      <c r="N27" s="258"/>
    </row>
    <row r="28" spans="2:14" ht="13.5" x14ac:dyDescent="0.25">
      <c r="B28" s="32">
        <v>2021</v>
      </c>
      <c r="C28" s="494" t="s">
        <v>277</v>
      </c>
      <c r="D28" s="259" cm="1">
        <f t="array" aca="1" ref="D28" ca="1">_xlfn.XLOOKUP(D$13,INDIRECT("'"&amp;$B28&amp;" EI'!$B$6:$B$53"),_xlfn.XLOOKUP($C$10,INDIRECT("'"&amp;$B28&amp;" EI'!$D$4:$Z$4"),INDIRECT("'"&amp;$B28&amp;" EI'!$D$6:$Z$53")))*_xlfn.XLOOKUP($B28&amp;D$15,'Gas Useage'!$A$4:$A$15&amp;'Gas Useage'!$B$4:$B$15,_xlfn.XLOOKUP($C28&amp;D$14,'Gas Useage'!$C$2:$AB$2&amp;'Gas Useage'!$C$3:$AB$3,'Gas Useage'!$C$4:$AB$15))/_xlfn.XLOOKUP($B28&amp;D$15,'Gas Useage'!$A$4:$A$15&amp;'Gas Useage'!$B$4:$B$15,_xlfn.XLOOKUP(D$14,'Gas Useage'!$AA$3:$AB$3,'Gas Useage'!$AA$4:$AB$15))</f>
        <v>1.4428483880212726E-2</v>
      </c>
      <c r="E28" s="259" cm="1">
        <f t="array" aca="1" ref="E28" ca="1">_xlfn.XLOOKUP(E$13,INDIRECT("'"&amp;$B28&amp;" EI'!$B$6:$B$53"),_xlfn.XLOOKUP($C$10,INDIRECT("'"&amp;$B28&amp;" EI'!$D$4:$Z$4"),INDIRECT("'"&amp;$B28&amp;" EI'!$D$6:$Z$53")))*_xlfn.XLOOKUP($B28&amp;E$15,'Gas Useage'!$A$4:$A$15&amp;'Gas Useage'!$B$4:$B$15,_xlfn.XLOOKUP($C28&amp;E$14,'Gas Useage'!$C$2:$AB$2&amp;'Gas Useage'!$C$3:$AB$3,'Gas Useage'!$C$4:$AB$15))/_xlfn.XLOOKUP($B28&amp;E$15,'Gas Useage'!$A$4:$A$15&amp;'Gas Useage'!$B$4:$B$15,_xlfn.XLOOKUP(E$14,'Gas Useage'!$AA$3:$AB$3,'Gas Useage'!$AA$4:$AB$15))</f>
        <v>2.2576619357608293E-3</v>
      </c>
      <c r="F28" s="259" cm="1">
        <f t="array" aca="1" ref="F28" ca="1">_xlfn.XLOOKUP(F$13,INDIRECT("'"&amp;$B28&amp;" EI'!$B$6:$B$53"),_xlfn.XLOOKUP($C$10,INDIRECT("'"&amp;$B28&amp;" EI'!$D$4:$Z$4"),INDIRECT("'"&amp;$B28&amp;" EI'!$D$6:$Z$53")))*_xlfn.XLOOKUP($B28&amp;F$15,'Gas Useage'!$A$4:$A$15&amp;'Gas Useage'!$B$4:$B$15,_xlfn.XLOOKUP($C28&amp;F$14,'Gas Useage'!$C$2:$AB$2&amp;'Gas Useage'!$C$3:$AB$3,'Gas Useage'!$C$4:$AB$15))/_xlfn.XLOOKUP($B28&amp;F$15,'Gas Useage'!$A$4:$A$15&amp;'Gas Useage'!$B$4:$B$15,_xlfn.XLOOKUP(F$14,'Gas Useage'!$AA$3:$AB$3,'Gas Useage'!$AA$4:$AB$15))</f>
        <v>1.7873970742398184E-2</v>
      </c>
      <c r="G28" s="259" cm="1">
        <f t="array" aca="1" ref="G28" ca="1">_xlfn.XLOOKUP(G$13,INDIRECT("'"&amp;$B28&amp;" EI'!$B$6:$B$53"),_xlfn.XLOOKUP($C$10,INDIRECT("'"&amp;$B28&amp;" EI'!$D$4:$Z$4"),INDIRECT("'"&amp;$B28&amp;" EI'!$D$6:$Z$53")))*_xlfn.XLOOKUP($B28&amp;G$15,'Gas Useage'!$A$4:$A$15&amp;'Gas Useage'!$B$4:$B$15,_xlfn.XLOOKUP($C28&amp;G$14,'Gas Useage'!$C$2:$AB$2&amp;'Gas Useage'!$C$3:$AB$3,'Gas Useage'!$C$4:$AB$15))/_xlfn.XLOOKUP($B28&amp;G$15,'Gas Useage'!$A$4:$A$15&amp;'Gas Useage'!$B$4:$B$15,_xlfn.XLOOKUP(G$14,'Gas Useage'!$AA$3:$AB$3,'Gas Useage'!$AA$4:$AB$15))</f>
        <v>2.7967861156469724E-3</v>
      </c>
      <c r="H28" s="260" t="s">
        <v>278</v>
      </c>
      <c r="I28" s="260" t="s">
        <v>278</v>
      </c>
      <c r="J28" s="260" t="s">
        <v>278</v>
      </c>
      <c r="K28" s="261" t="s">
        <v>278</v>
      </c>
      <c r="N28" s="258"/>
    </row>
    <row r="29" spans="2:14" ht="13.5" x14ac:dyDescent="0.25">
      <c r="B29" s="32">
        <v>2021</v>
      </c>
      <c r="C29" s="494" t="s">
        <v>279</v>
      </c>
      <c r="D29" s="259" cm="1">
        <f t="array" aca="1" ref="D29" ca="1">_xlfn.XLOOKUP(D$13,INDIRECT("'"&amp;$B29&amp;" EI'!$B$6:$B$53"),_xlfn.XLOOKUP($C$10,INDIRECT("'"&amp;$B29&amp;" EI'!$D$4:$Z$4"),INDIRECT("'"&amp;$B29&amp;" EI'!$D$6:$Z$53")))*_xlfn.XLOOKUP($B29&amp;D$15,'Gas Useage'!$A$4:$A$15&amp;'Gas Useage'!$B$4:$B$15,_xlfn.XLOOKUP($C29&amp;D$14,'Gas Useage'!$C$2:$AB$2&amp;'Gas Useage'!$C$3:$AB$3,'Gas Useage'!$C$4:$AB$15))/_xlfn.XLOOKUP($B29&amp;D$15,'Gas Useage'!$A$4:$A$15&amp;'Gas Useage'!$B$4:$B$15,_xlfn.XLOOKUP(D$14,'Gas Useage'!$AA$3:$AB$3,'Gas Useage'!$AA$4:$AB$15))</f>
        <v>9.7925629177776502E-3</v>
      </c>
      <c r="E29" s="259" cm="1">
        <f t="array" aca="1" ref="E29" ca="1">_xlfn.XLOOKUP(E$13,INDIRECT("'"&amp;$B29&amp;" EI'!$B$6:$B$53"),_xlfn.XLOOKUP($C$10,INDIRECT("'"&amp;$B29&amp;" EI'!$D$4:$Z$4"),INDIRECT("'"&amp;$B29&amp;" EI'!$D$6:$Z$53")))*_xlfn.XLOOKUP($B29&amp;E$15,'Gas Useage'!$A$4:$A$15&amp;'Gas Useage'!$B$4:$B$15,_xlfn.XLOOKUP($C29&amp;E$14,'Gas Useage'!$C$2:$AB$2&amp;'Gas Useage'!$C$3:$AB$3,'Gas Useage'!$C$4:$AB$15))/_xlfn.XLOOKUP($B29&amp;E$15,'Gas Useage'!$A$4:$A$15&amp;'Gas Useage'!$B$4:$B$15,_xlfn.XLOOKUP(E$14,'Gas Useage'!$AA$3:$AB$3,'Gas Useage'!$AA$4:$AB$15))</f>
        <v>3.2664772260999416E-3</v>
      </c>
      <c r="F29" s="259" cm="1">
        <f t="array" aca="1" ref="F29" ca="1">_xlfn.XLOOKUP(F$13,INDIRECT("'"&amp;$B29&amp;" EI'!$B$6:$B$53"),_xlfn.XLOOKUP($C$10,INDIRECT("'"&amp;$B29&amp;" EI'!$D$4:$Z$4"),INDIRECT("'"&amp;$B29&amp;" EI'!$D$6:$Z$53")))*_xlfn.XLOOKUP($B29&amp;F$15,'Gas Useage'!$A$4:$A$15&amp;'Gas Useage'!$B$4:$B$15,_xlfn.XLOOKUP($C29&amp;F$14,'Gas Useage'!$C$2:$AB$2&amp;'Gas Useage'!$C$3:$AB$3,'Gas Useage'!$C$4:$AB$15))/_xlfn.XLOOKUP($B29&amp;F$15,'Gas Useage'!$A$4:$A$15&amp;'Gas Useage'!$B$4:$B$15,_xlfn.XLOOKUP(F$14,'Gas Useage'!$AA$3:$AB$3,'Gas Useage'!$AA$4:$AB$15))</f>
        <v>1.3427269233035805E-2</v>
      </c>
      <c r="G29" s="259" cm="1">
        <f t="array" aca="1" ref="G29" ca="1">_xlfn.XLOOKUP(G$13,INDIRECT("'"&amp;$B29&amp;" EI'!$B$6:$B$53"),_xlfn.XLOOKUP($C$10,INDIRECT("'"&amp;$B29&amp;" EI'!$D$4:$Z$4"),INDIRECT("'"&amp;$B29&amp;" EI'!$D$6:$Z$53")))*_xlfn.XLOOKUP($B29&amp;G$15,'Gas Useage'!$A$4:$A$15&amp;'Gas Useage'!$B$4:$B$15,_xlfn.XLOOKUP($C29&amp;G$14,'Gas Useage'!$C$2:$AB$2&amp;'Gas Useage'!$C$3:$AB$3,'Gas Useage'!$C$4:$AB$15))/_xlfn.XLOOKUP($B29&amp;G$15,'Gas Useage'!$A$4:$A$15&amp;'Gas Useage'!$B$4:$B$15,_xlfn.XLOOKUP(G$14,'Gas Useage'!$AA$3:$AB$3,'Gas Useage'!$AA$4:$AB$15))</f>
        <v>4.4788958239726636E-3</v>
      </c>
      <c r="H29" s="260" t="s">
        <v>278</v>
      </c>
      <c r="I29" s="260" t="s">
        <v>278</v>
      </c>
      <c r="J29" s="260" t="s">
        <v>278</v>
      </c>
      <c r="K29" s="261" t="s">
        <v>278</v>
      </c>
      <c r="N29" s="258"/>
    </row>
    <row r="30" spans="2:14" ht="13.5" x14ac:dyDescent="0.25">
      <c r="B30" s="32">
        <v>2021</v>
      </c>
      <c r="C30" s="494" t="s">
        <v>280</v>
      </c>
      <c r="D30" s="259" cm="1">
        <f t="array" aca="1" ref="D30" ca="1">_xlfn.XLOOKUP(D$13,INDIRECT("'"&amp;$B30&amp;" EI'!$B$6:$B$53"),_xlfn.XLOOKUP($C$10,INDIRECT("'"&amp;$B30&amp;" EI'!$D$4:$Z$4"),INDIRECT("'"&amp;$B30&amp;" EI'!$D$6:$Z$53")))*_xlfn.XLOOKUP($B30&amp;D$15,'Gas Useage'!$A$4:$A$15&amp;'Gas Useage'!$B$4:$B$15,_xlfn.XLOOKUP($C30&amp;D$14,'Gas Useage'!$C$2:$AB$2&amp;'Gas Useage'!$C$3:$AB$3,'Gas Useage'!$C$4:$AB$15))/_xlfn.XLOOKUP($B30&amp;D$15,'Gas Useage'!$A$4:$A$15&amp;'Gas Useage'!$B$4:$B$15,_xlfn.XLOOKUP(D$14,'Gas Useage'!$AA$3:$AB$3,'Gas Useage'!$AA$4:$AB$15))</f>
        <v>2.0468416223663036E-2</v>
      </c>
      <c r="E30" s="259" cm="1">
        <f t="array" aca="1" ref="E30" ca="1">_xlfn.XLOOKUP(E$13,INDIRECT("'"&amp;$B30&amp;" EI'!$B$6:$B$53"),_xlfn.XLOOKUP($C$10,INDIRECT("'"&amp;$B30&amp;" EI'!$D$4:$Z$4"),INDIRECT("'"&amp;$B30&amp;" EI'!$D$6:$Z$53")))*_xlfn.XLOOKUP($B30&amp;E$15,'Gas Useage'!$A$4:$A$15&amp;'Gas Useage'!$B$4:$B$15,_xlfn.XLOOKUP($C30&amp;E$14,'Gas Useage'!$C$2:$AB$2&amp;'Gas Useage'!$C$3:$AB$3,'Gas Useage'!$C$4:$AB$15))/_xlfn.XLOOKUP($B30&amp;E$15,'Gas Useage'!$A$4:$A$15&amp;'Gas Useage'!$B$4:$B$15,_xlfn.XLOOKUP(E$14,'Gas Useage'!$AA$3:$AB$3,'Gas Useage'!$AA$4:$AB$15))</f>
        <v>5.3381738703185367E-3</v>
      </c>
      <c r="F30" s="259" cm="1">
        <f t="array" aca="1" ref="F30" ca="1">_xlfn.XLOOKUP(F$13,INDIRECT("'"&amp;$B30&amp;" EI'!$B$6:$B$53"),_xlfn.XLOOKUP($C$10,INDIRECT("'"&amp;$B30&amp;" EI'!$D$4:$Z$4"),INDIRECT("'"&amp;$B30&amp;" EI'!$D$6:$Z$53")))*_xlfn.XLOOKUP($B30&amp;F$15,'Gas Useage'!$A$4:$A$15&amp;'Gas Useage'!$B$4:$B$15,_xlfn.XLOOKUP($C30&amp;F$14,'Gas Useage'!$C$2:$AB$2&amp;'Gas Useage'!$C$3:$AB$3,'Gas Useage'!$C$4:$AB$15))/_xlfn.XLOOKUP($B30&amp;F$15,'Gas Useage'!$A$4:$A$15&amp;'Gas Useage'!$B$4:$B$15,_xlfn.XLOOKUP(F$14,'Gas Useage'!$AA$3:$AB$3,'Gas Useage'!$AA$4:$AB$15))</f>
        <v>1.4144671059409718E-2</v>
      </c>
      <c r="G30" s="259" cm="1">
        <f t="array" aca="1" ref="G30" ca="1">_xlfn.XLOOKUP(G$13,INDIRECT("'"&amp;$B30&amp;" EI'!$B$6:$B$53"),_xlfn.XLOOKUP($C$10,INDIRECT("'"&amp;$B30&amp;" EI'!$D$4:$Z$4"),INDIRECT("'"&amp;$B30&amp;" EI'!$D$6:$Z$53")))*_xlfn.XLOOKUP($B30&amp;G$15,'Gas Useage'!$A$4:$A$15&amp;'Gas Useage'!$B$4:$B$15,_xlfn.XLOOKUP($C30&amp;G$14,'Gas Useage'!$C$2:$AB$2&amp;'Gas Useage'!$C$3:$AB$3,'Gas Useage'!$C$4:$AB$15))/_xlfn.XLOOKUP($B30&amp;G$15,'Gas Useage'!$A$4:$A$15&amp;'Gas Useage'!$B$4:$B$15,_xlfn.XLOOKUP(G$14,'Gas Useage'!$AA$3:$AB$3,'Gas Useage'!$AA$4:$AB$15))</f>
        <v>3.688937757983457E-3</v>
      </c>
      <c r="H30" s="260" t="s">
        <v>278</v>
      </c>
      <c r="I30" s="260" t="s">
        <v>278</v>
      </c>
      <c r="J30" s="260" t="s">
        <v>278</v>
      </c>
      <c r="K30" s="261" t="s">
        <v>278</v>
      </c>
      <c r="N30" s="258"/>
    </row>
    <row r="31" spans="2:14" ht="13.5" x14ac:dyDescent="0.25">
      <c r="B31" s="32">
        <v>2021</v>
      </c>
      <c r="C31" s="494" t="s">
        <v>281</v>
      </c>
      <c r="D31" s="259" cm="1">
        <f t="array" aca="1" ref="D31" ca="1">_xlfn.XLOOKUP(D$13,INDIRECT("'"&amp;$B31&amp;" EI'!$B$6:$B$53"),_xlfn.XLOOKUP($C$10,INDIRECT("'"&amp;$B31&amp;" EI'!$D$4:$Z$4"),INDIRECT("'"&amp;$B31&amp;" EI'!$D$6:$Z$53")))*_xlfn.XLOOKUP($B31&amp;D$15,'Gas Useage'!$A$4:$A$15&amp;'Gas Useage'!$B$4:$B$15,_xlfn.XLOOKUP($C31&amp;D$14,'Gas Useage'!$C$2:$AB$2&amp;'Gas Useage'!$C$3:$AB$3,'Gas Useage'!$C$4:$AB$15))/_xlfn.XLOOKUP($B31&amp;D$15,'Gas Useage'!$A$4:$A$15&amp;'Gas Useage'!$B$4:$B$15,_xlfn.XLOOKUP(D$14,'Gas Useage'!$AA$3:$AB$3,'Gas Useage'!$AA$4:$AB$15))</f>
        <v>9.1854942103259344E-3</v>
      </c>
      <c r="E31" s="259" cm="1">
        <f t="array" aca="1" ref="E31" ca="1">_xlfn.XLOOKUP(E$13,INDIRECT("'"&amp;$B31&amp;" EI'!$B$6:$B$53"),_xlfn.XLOOKUP($C$10,INDIRECT("'"&amp;$B31&amp;" EI'!$D$4:$Z$4"),INDIRECT("'"&amp;$B31&amp;" EI'!$D$6:$Z$53")))*_xlfn.XLOOKUP($B31&amp;E$15,'Gas Useage'!$A$4:$A$15&amp;'Gas Useage'!$B$4:$B$15,_xlfn.XLOOKUP($C31&amp;E$14,'Gas Useage'!$C$2:$AB$2&amp;'Gas Useage'!$C$3:$AB$3,'Gas Useage'!$C$4:$AB$15))/_xlfn.XLOOKUP($B31&amp;E$15,'Gas Useage'!$A$4:$A$15&amp;'Gas Useage'!$B$4:$B$15,_xlfn.XLOOKUP(E$14,'Gas Useage'!$AA$3:$AB$3,'Gas Useage'!$AA$4:$AB$15))</f>
        <v>1.9610253980349964E-3</v>
      </c>
      <c r="F31" s="259" cm="1">
        <f t="array" aca="1" ref="F31" ca="1">_xlfn.XLOOKUP(F$13,INDIRECT("'"&amp;$B31&amp;" EI'!$B$6:$B$53"),_xlfn.XLOOKUP($C$10,INDIRECT("'"&amp;$B31&amp;" EI'!$D$4:$Z$4"),INDIRECT("'"&amp;$B31&amp;" EI'!$D$6:$Z$53")))*_xlfn.XLOOKUP($B31&amp;F$15,'Gas Useage'!$A$4:$A$15&amp;'Gas Useage'!$B$4:$B$15,_xlfn.XLOOKUP($C31&amp;F$14,'Gas Useage'!$C$2:$AB$2&amp;'Gas Useage'!$C$3:$AB$3,'Gas Useage'!$C$4:$AB$15))/_xlfn.XLOOKUP($B31&amp;F$15,'Gas Useage'!$A$4:$A$15&amp;'Gas Useage'!$B$4:$B$15,_xlfn.XLOOKUP(F$14,'Gas Useage'!$AA$3:$AB$3,'Gas Useage'!$AA$4:$AB$15))</f>
        <v>1.3447494197010242E-2</v>
      </c>
      <c r="G31" s="259" cm="1">
        <f t="array" aca="1" ref="G31" ca="1">_xlfn.XLOOKUP(G$13,INDIRECT("'"&amp;$B31&amp;" EI'!$B$6:$B$53"),_xlfn.XLOOKUP($C$10,INDIRECT("'"&amp;$B31&amp;" EI'!$D$4:$Z$4"),INDIRECT("'"&amp;$B31&amp;" EI'!$D$6:$Z$53")))*_xlfn.XLOOKUP($B31&amp;G$15,'Gas Useage'!$A$4:$A$15&amp;'Gas Useage'!$B$4:$B$15,_xlfn.XLOOKUP($C31&amp;G$14,'Gas Useage'!$C$2:$AB$2&amp;'Gas Useage'!$C$3:$AB$3,'Gas Useage'!$C$4:$AB$15))/_xlfn.XLOOKUP($B31&amp;G$15,'Gas Useage'!$A$4:$A$15&amp;'Gas Useage'!$B$4:$B$15,_xlfn.XLOOKUP(G$14,'Gas Useage'!$AA$3:$AB$3,'Gas Useage'!$AA$4:$AB$15))</f>
        <v>2.870926382014406E-3</v>
      </c>
      <c r="H31" s="260" t="s">
        <v>278</v>
      </c>
      <c r="I31" s="260" t="s">
        <v>278</v>
      </c>
      <c r="J31" s="260" t="s">
        <v>278</v>
      </c>
      <c r="K31" s="261" t="s">
        <v>278</v>
      </c>
      <c r="N31" s="258"/>
    </row>
    <row r="32" spans="2:14" ht="13.5" x14ac:dyDescent="0.25">
      <c r="B32" s="32">
        <v>2021</v>
      </c>
      <c r="C32" s="494" t="s">
        <v>282</v>
      </c>
      <c r="D32" s="259" cm="1">
        <f t="array" aca="1" ref="D32" ca="1">_xlfn.XLOOKUP(D$13,INDIRECT("'"&amp;$B32&amp;" EI'!$B$6:$B$53"),_xlfn.XLOOKUP($C$10,INDIRECT("'"&amp;$B32&amp;" EI'!$D$4:$Z$4"),INDIRECT("'"&amp;$B32&amp;" EI'!$D$6:$Z$53")))*_xlfn.XLOOKUP($B32&amp;D$15,'Gas Useage'!$A$4:$A$15&amp;'Gas Useage'!$B$4:$B$15,_xlfn.XLOOKUP($C32&amp;D$14,'Gas Useage'!$C$2:$AB$2&amp;'Gas Useage'!$C$3:$AB$3,'Gas Useage'!$C$4:$AB$15))/_xlfn.XLOOKUP($B32&amp;D$15,'Gas Useage'!$A$4:$A$15&amp;'Gas Useage'!$B$4:$B$15,_xlfn.XLOOKUP(D$14,'Gas Useage'!$AA$3:$AB$3,'Gas Useage'!$AA$4:$AB$15))</f>
        <v>6.7080653540651687E-3</v>
      </c>
      <c r="E32" s="259" cm="1">
        <f t="array" aca="1" ref="E32" ca="1">_xlfn.XLOOKUP(E$13,INDIRECT("'"&amp;$B32&amp;" EI'!$B$6:$B$53"),_xlfn.XLOOKUP($C$10,INDIRECT("'"&amp;$B32&amp;" EI'!$D$4:$Z$4"),INDIRECT("'"&amp;$B32&amp;" EI'!$D$6:$Z$53")))*_xlfn.XLOOKUP($B32&amp;E$15,'Gas Useage'!$A$4:$A$15&amp;'Gas Useage'!$B$4:$B$15,_xlfn.XLOOKUP($C32&amp;E$14,'Gas Useage'!$C$2:$AB$2&amp;'Gas Useage'!$C$3:$AB$3,'Gas Useage'!$C$4:$AB$15))/_xlfn.XLOOKUP($B32&amp;E$15,'Gas Useage'!$A$4:$A$15&amp;'Gas Useage'!$B$4:$B$15,_xlfn.XLOOKUP(E$14,'Gas Useage'!$AA$3:$AB$3,'Gas Useage'!$AA$4:$AB$15))</f>
        <v>1.2899310268764256E-3</v>
      </c>
      <c r="F32" s="259" cm="1">
        <f t="array" aca="1" ref="F32" ca="1">_xlfn.XLOOKUP(F$13,INDIRECT("'"&amp;$B32&amp;" EI'!$B$6:$B$53"),_xlfn.XLOOKUP($C$10,INDIRECT("'"&amp;$B32&amp;" EI'!$D$4:$Z$4"),INDIRECT("'"&amp;$B32&amp;" EI'!$D$6:$Z$53")))*_xlfn.XLOOKUP($B32&amp;F$15,'Gas Useage'!$A$4:$A$15&amp;'Gas Useage'!$B$4:$B$15,_xlfn.XLOOKUP($C32&amp;F$14,'Gas Useage'!$C$2:$AB$2&amp;'Gas Useage'!$C$3:$AB$3,'Gas Useage'!$C$4:$AB$15))/_xlfn.XLOOKUP($B32&amp;F$15,'Gas Useage'!$A$4:$A$15&amp;'Gas Useage'!$B$4:$B$15,_xlfn.XLOOKUP(F$14,'Gas Useage'!$AA$3:$AB$3,'Gas Useage'!$AA$4:$AB$15))</f>
        <v>1.2941927945742867E-2</v>
      </c>
      <c r="G32" s="259" cm="1">
        <f t="array" aca="1" ref="G32" ca="1">_xlfn.XLOOKUP(G$13,INDIRECT("'"&amp;$B32&amp;" EI'!$B$6:$B$53"),_xlfn.XLOOKUP($C$10,INDIRECT("'"&amp;$B32&amp;" EI'!$D$4:$Z$4"),INDIRECT("'"&amp;$B32&amp;" EI'!$D$6:$Z$53")))*_xlfn.XLOOKUP($B32&amp;G$15,'Gas Useage'!$A$4:$A$15&amp;'Gas Useage'!$B$4:$B$15,_xlfn.XLOOKUP($C32&amp;G$14,'Gas Useage'!$C$2:$AB$2&amp;'Gas Useage'!$C$3:$AB$3,'Gas Useage'!$C$4:$AB$15))/_xlfn.XLOOKUP($B32&amp;G$15,'Gas Useage'!$A$4:$A$15&amp;'Gas Useage'!$B$4:$B$15,_xlfn.XLOOKUP(G$14,'Gas Useage'!$AA$3:$AB$3,'Gas Useage'!$AA$4:$AB$15))</f>
        <v>2.4886749790975007E-3</v>
      </c>
      <c r="H32" s="260" t="s">
        <v>278</v>
      </c>
      <c r="I32" s="260" t="s">
        <v>278</v>
      </c>
      <c r="J32" s="260" t="s">
        <v>278</v>
      </c>
      <c r="K32" s="261" t="s">
        <v>278</v>
      </c>
      <c r="N32" s="258"/>
    </row>
    <row r="33" spans="2:14" ht="13.5" x14ac:dyDescent="0.25">
      <c r="B33" s="32">
        <v>2021</v>
      </c>
      <c r="C33" s="494" t="s">
        <v>283</v>
      </c>
      <c r="D33" s="259" cm="1">
        <f t="array" aca="1" ref="D33" ca="1">_xlfn.XLOOKUP(D$13,INDIRECT("'"&amp;$B33&amp;" EI'!$B$6:$B$53"),_xlfn.XLOOKUP($C$10,INDIRECT("'"&amp;$B33&amp;" EI'!$D$4:$Z$4"),INDIRECT("'"&amp;$B33&amp;" EI'!$D$6:$Z$53")))*_xlfn.XLOOKUP($B33&amp;D$15,'Gas Useage'!$A$4:$A$15&amp;'Gas Useage'!$B$4:$B$15,_xlfn.XLOOKUP($C33&amp;D$14,'Gas Useage'!$C$2:$AB$2&amp;'Gas Useage'!$C$3:$AB$3,'Gas Useage'!$C$4:$AB$15))/_xlfn.XLOOKUP($B33&amp;D$15,'Gas Useage'!$A$4:$A$15&amp;'Gas Useage'!$B$4:$B$15,_xlfn.XLOOKUP(D$14,'Gas Useage'!$AA$3:$AB$3,'Gas Useage'!$AA$4:$AB$15))</f>
        <v>3.0448169867932102E-3</v>
      </c>
      <c r="E33" s="259" cm="1">
        <f t="array" aca="1" ref="E33" ca="1">_xlfn.XLOOKUP(E$13,INDIRECT("'"&amp;$B33&amp;" EI'!$B$6:$B$53"),_xlfn.XLOOKUP($C$10,INDIRECT("'"&amp;$B33&amp;" EI'!$D$4:$Z$4"),INDIRECT("'"&amp;$B33&amp;" EI'!$D$6:$Z$53")))*_xlfn.XLOOKUP($B33&amp;E$15,'Gas Useage'!$A$4:$A$15&amp;'Gas Useage'!$B$4:$B$15,_xlfn.XLOOKUP($C33&amp;E$14,'Gas Useage'!$C$2:$AB$2&amp;'Gas Useage'!$C$3:$AB$3,'Gas Useage'!$C$4:$AB$15))/_xlfn.XLOOKUP($B33&amp;E$15,'Gas Useage'!$A$4:$A$15&amp;'Gas Useage'!$B$4:$B$15,_xlfn.XLOOKUP(E$14,'Gas Useage'!$AA$3:$AB$3,'Gas Useage'!$AA$4:$AB$15))</f>
        <v>4.4468280443476143E-4</v>
      </c>
      <c r="F33" s="259" cm="1">
        <f t="array" aca="1" ref="F33" ca="1">_xlfn.XLOOKUP(F$13,INDIRECT("'"&amp;$B33&amp;" EI'!$B$6:$B$53"),_xlfn.XLOOKUP($C$10,INDIRECT("'"&amp;$B33&amp;" EI'!$D$4:$Z$4"),INDIRECT("'"&amp;$B33&amp;" EI'!$D$6:$Z$53")))*_xlfn.XLOOKUP($B33&amp;F$15,'Gas Useage'!$A$4:$A$15&amp;'Gas Useage'!$B$4:$B$15,_xlfn.XLOOKUP($C33&amp;F$14,'Gas Useage'!$C$2:$AB$2&amp;'Gas Useage'!$C$3:$AB$3,'Gas Useage'!$C$4:$AB$15))/_xlfn.XLOOKUP($B33&amp;F$15,'Gas Useage'!$A$4:$A$15&amp;'Gas Useage'!$B$4:$B$15,_xlfn.XLOOKUP(F$14,'Gas Useage'!$AA$3:$AB$3,'Gas Useage'!$AA$4:$AB$15))</f>
        <v>6.1684610112722254E-3</v>
      </c>
      <c r="G33" s="259" cm="1">
        <f t="array" aca="1" ref="G33" ca="1">_xlfn.XLOOKUP(G$13,INDIRECT("'"&amp;$B33&amp;" EI'!$B$6:$B$53"),_xlfn.XLOOKUP($C$10,INDIRECT("'"&amp;$B33&amp;" EI'!$D$4:$Z$4"),INDIRECT("'"&amp;$B33&amp;" EI'!$D$6:$Z$53")))*_xlfn.XLOOKUP($B33&amp;G$15,'Gas Useage'!$A$4:$A$15&amp;'Gas Useage'!$B$4:$B$15,_xlfn.XLOOKUP($C33&amp;G$14,'Gas Useage'!$C$2:$AB$2&amp;'Gas Useage'!$C$3:$AB$3,'Gas Useage'!$C$4:$AB$15))/_xlfn.XLOOKUP($B33&amp;G$15,'Gas Useage'!$A$4:$A$15&amp;'Gas Useage'!$B$4:$B$15,_xlfn.XLOOKUP(G$14,'Gas Useage'!$AA$3:$AB$3,'Gas Useage'!$AA$4:$AB$15))</f>
        <v>9.008779685073762E-4</v>
      </c>
      <c r="H33" s="260" t="s">
        <v>278</v>
      </c>
      <c r="I33" s="260" t="s">
        <v>278</v>
      </c>
      <c r="J33" s="260" t="s">
        <v>278</v>
      </c>
      <c r="K33" s="261" t="s">
        <v>278</v>
      </c>
      <c r="N33" s="258"/>
    </row>
    <row r="34" spans="2:14" ht="13.5" x14ac:dyDescent="0.25">
      <c r="B34" s="32">
        <v>2021</v>
      </c>
      <c r="C34" s="494" t="s">
        <v>284</v>
      </c>
      <c r="D34" s="259" cm="1">
        <f t="array" aca="1" ref="D34" ca="1">_xlfn.XLOOKUP(D$13,INDIRECT("'"&amp;$B34&amp;" EI'!$B$6:$B$53"),_xlfn.XLOOKUP($C$10,INDIRECT("'"&amp;$B34&amp;" EI'!$D$4:$Z$4"),INDIRECT("'"&amp;$B34&amp;" EI'!$D$6:$Z$53")))*_xlfn.XLOOKUP($B34&amp;D$15,'Gas Useage'!$A$4:$A$15&amp;'Gas Useage'!$B$4:$B$15,_xlfn.XLOOKUP($C34&amp;D$14,'Gas Useage'!$C$2:$AB$2&amp;'Gas Useage'!$C$3:$AB$3,'Gas Useage'!$C$4:$AB$15))/_xlfn.XLOOKUP($B34&amp;D$15,'Gas Useage'!$A$4:$A$15&amp;'Gas Useage'!$B$4:$B$15,_xlfn.XLOOKUP(D$14,'Gas Useage'!$AA$3:$AB$3,'Gas Useage'!$AA$4:$AB$15))</f>
        <v>6.8079893382992458E-3</v>
      </c>
      <c r="E34" s="259" cm="1">
        <f t="array" aca="1" ref="E34" ca="1">_xlfn.XLOOKUP(E$13,INDIRECT("'"&amp;$B34&amp;" EI'!$B$6:$B$53"),_xlfn.XLOOKUP($C$10,INDIRECT("'"&amp;$B34&amp;" EI'!$D$4:$Z$4"),INDIRECT("'"&amp;$B34&amp;" EI'!$D$6:$Z$53")))*_xlfn.XLOOKUP($B34&amp;E$15,'Gas Useage'!$A$4:$A$15&amp;'Gas Useage'!$B$4:$B$15,_xlfn.XLOOKUP($C34&amp;E$14,'Gas Useage'!$C$2:$AB$2&amp;'Gas Useage'!$C$3:$AB$3,'Gas Useage'!$C$4:$AB$15))/_xlfn.XLOOKUP($B34&amp;E$15,'Gas Useage'!$A$4:$A$15&amp;'Gas Useage'!$B$4:$B$15,_xlfn.XLOOKUP(E$14,'Gas Useage'!$AA$3:$AB$3,'Gas Useage'!$AA$4:$AB$15))</f>
        <v>7.4790368236656284E-4</v>
      </c>
      <c r="F34" s="259" cm="1">
        <f t="array" aca="1" ref="F34" ca="1">_xlfn.XLOOKUP(F$13,INDIRECT("'"&amp;$B34&amp;" EI'!$B$6:$B$53"),_xlfn.XLOOKUP($C$10,INDIRECT("'"&amp;$B34&amp;" EI'!$D$4:$Z$4"),INDIRECT("'"&amp;$B34&amp;" EI'!$D$6:$Z$53")))*_xlfn.XLOOKUP($B34&amp;F$15,'Gas Useage'!$A$4:$A$15&amp;'Gas Useage'!$B$4:$B$15,_xlfn.XLOOKUP($C34&amp;F$14,'Gas Useage'!$C$2:$AB$2&amp;'Gas Useage'!$C$3:$AB$3,'Gas Useage'!$C$4:$AB$15))/_xlfn.XLOOKUP($B34&amp;F$15,'Gas Useage'!$A$4:$A$15&amp;'Gas Useage'!$B$4:$B$15,_xlfn.XLOOKUP(F$14,'Gas Useage'!$AA$3:$AB$3,'Gas Useage'!$AA$4:$AB$15))</f>
        <v>7.6058950379460158E-3</v>
      </c>
      <c r="G34" s="259" cm="1">
        <f t="array" aca="1" ref="G34" ca="1">_xlfn.XLOOKUP(G$13,INDIRECT("'"&amp;$B34&amp;" EI'!$B$6:$B$53"),_xlfn.XLOOKUP($C$10,INDIRECT("'"&amp;$B34&amp;" EI'!$D$4:$Z$4"),INDIRECT("'"&amp;$B34&amp;" EI'!$D$6:$Z$53")))*_xlfn.XLOOKUP($B34&amp;G$15,'Gas Useage'!$A$4:$A$15&amp;'Gas Useage'!$B$4:$B$15,_xlfn.XLOOKUP($C34&amp;G$14,'Gas Useage'!$C$2:$AB$2&amp;'Gas Useage'!$C$3:$AB$3,'Gas Useage'!$C$4:$AB$15))/_xlfn.XLOOKUP($B34&amp;G$15,'Gas Useage'!$A$4:$A$15&amp;'Gas Useage'!$B$4:$B$15,_xlfn.XLOOKUP(G$14,'Gas Useage'!$AA$3:$AB$3,'Gas Useage'!$AA$4:$AB$15))</f>
        <v>8.3555902101257898E-4</v>
      </c>
      <c r="H34" s="260" t="s">
        <v>278</v>
      </c>
      <c r="I34" s="260" t="s">
        <v>278</v>
      </c>
      <c r="J34" s="260" t="s">
        <v>278</v>
      </c>
      <c r="K34" s="261" t="s">
        <v>278</v>
      </c>
      <c r="N34" s="258"/>
    </row>
    <row r="35" spans="2:14" ht="13.5" x14ac:dyDescent="0.25">
      <c r="B35" s="32">
        <v>2021</v>
      </c>
      <c r="C35" s="494" t="s">
        <v>285</v>
      </c>
      <c r="D35" s="259" cm="1">
        <f t="array" aca="1" ref="D35" ca="1">_xlfn.XLOOKUP(D$13,INDIRECT("'"&amp;$B35&amp;" EI'!$B$6:$B$53"),_xlfn.XLOOKUP($C$10,INDIRECT("'"&amp;$B35&amp;" EI'!$D$4:$Z$4"),INDIRECT("'"&amp;$B35&amp;" EI'!$D$6:$Z$53")))*_xlfn.XLOOKUP($B35&amp;D$15,'Gas Useage'!$A$4:$A$15&amp;'Gas Useage'!$B$4:$B$15,_xlfn.XLOOKUP($C35&amp;D$14,'Gas Useage'!$C$2:$AB$2&amp;'Gas Useage'!$C$3:$AB$3,'Gas Useage'!$C$4:$AB$15))/_xlfn.XLOOKUP($B35&amp;D$15,'Gas Useage'!$A$4:$A$15&amp;'Gas Useage'!$B$4:$B$15,_xlfn.XLOOKUP(D$14,'Gas Useage'!$AA$3:$AB$3,'Gas Useage'!$AA$4:$AB$15))</f>
        <v>8.2077557513540629E-3</v>
      </c>
      <c r="E35" s="259" cm="1">
        <f t="array" aca="1" ref="E35" ca="1">_xlfn.XLOOKUP(E$13,INDIRECT("'"&amp;$B35&amp;" EI'!$B$6:$B$53"),_xlfn.XLOOKUP($C$10,INDIRECT("'"&amp;$B35&amp;" EI'!$D$4:$Z$4"),INDIRECT("'"&amp;$B35&amp;" EI'!$D$6:$Z$53")))*_xlfn.XLOOKUP($B35&amp;E$15,'Gas Useage'!$A$4:$A$15&amp;'Gas Useage'!$B$4:$B$15,_xlfn.XLOOKUP($C35&amp;E$14,'Gas Useage'!$C$2:$AB$2&amp;'Gas Useage'!$C$3:$AB$3,'Gas Useage'!$C$4:$AB$15))/_xlfn.XLOOKUP($B35&amp;E$15,'Gas Useage'!$A$4:$A$15&amp;'Gas Useage'!$B$4:$B$15,_xlfn.XLOOKUP(E$14,'Gas Useage'!$AA$3:$AB$3,'Gas Useage'!$AA$4:$AB$15))</f>
        <v>2.5002353700912566E-3</v>
      </c>
      <c r="F35" s="259" cm="1">
        <f t="array" aca="1" ref="F35" ca="1">_xlfn.XLOOKUP(F$13,INDIRECT("'"&amp;$B35&amp;" EI'!$B$6:$B$53"),_xlfn.XLOOKUP($C$10,INDIRECT("'"&amp;$B35&amp;" EI'!$D$4:$Z$4"),INDIRECT("'"&amp;$B35&amp;" EI'!$D$6:$Z$53")))*_xlfn.XLOOKUP($B35&amp;F$15,'Gas Useage'!$A$4:$A$15&amp;'Gas Useage'!$B$4:$B$15,_xlfn.XLOOKUP($C35&amp;F$14,'Gas Useage'!$C$2:$AB$2&amp;'Gas Useage'!$C$3:$AB$3,'Gas Useage'!$C$4:$AB$15))/_xlfn.XLOOKUP($B35&amp;F$15,'Gas Useage'!$A$4:$A$15&amp;'Gas Useage'!$B$4:$B$15,_xlfn.XLOOKUP(F$14,'Gas Useage'!$AA$3:$AB$3,'Gas Useage'!$AA$4:$AB$15))</f>
        <v>7.0001206156357007E-3</v>
      </c>
      <c r="G35" s="259" cm="1">
        <f t="array" aca="1" ref="G35" ca="1">_xlfn.XLOOKUP(G$13,INDIRECT("'"&amp;$B35&amp;" EI'!$B$6:$B$53"),_xlfn.XLOOKUP($C$10,INDIRECT("'"&amp;$B35&amp;" EI'!$D$4:$Z$4"),INDIRECT("'"&amp;$B35&amp;" EI'!$D$6:$Z$53")))*_xlfn.XLOOKUP($B35&amp;G$15,'Gas Useage'!$A$4:$A$15&amp;'Gas Useage'!$B$4:$B$15,_xlfn.XLOOKUP($C35&amp;G$14,'Gas Useage'!$C$2:$AB$2&amp;'Gas Useage'!$C$3:$AB$3,'Gas Useage'!$C$4:$AB$15))/_xlfn.XLOOKUP($B35&amp;G$15,'Gas Useage'!$A$4:$A$15&amp;'Gas Useage'!$B$4:$B$15,_xlfn.XLOOKUP(G$14,'Gas Useage'!$AA$3:$AB$3,'Gas Useage'!$AA$4:$AB$15))</f>
        <v>2.1323672010135045E-3</v>
      </c>
      <c r="H35" s="260" t="s">
        <v>278</v>
      </c>
      <c r="I35" s="260" t="s">
        <v>278</v>
      </c>
      <c r="J35" s="260" t="s">
        <v>278</v>
      </c>
      <c r="K35" s="261" t="s">
        <v>278</v>
      </c>
      <c r="N35" s="258"/>
    </row>
    <row r="36" spans="2:14" ht="13.5" x14ac:dyDescent="0.25">
      <c r="B36" s="32">
        <v>2021</v>
      </c>
      <c r="C36" s="494" t="s">
        <v>286</v>
      </c>
      <c r="D36" s="259" cm="1">
        <f t="array" aca="1" ref="D36" ca="1">_xlfn.XLOOKUP(D$13,INDIRECT("'"&amp;$B36&amp;" EI'!$B$6:$B$53"),_xlfn.XLOOKUP($C$10,INDIRECT("'"&amp;$B36&amp;" EI'!$D$4:$Z$4"),INDIRECT("'"&amp;$B36&amp;" EI'!$D$6:$Z$53")))*_xlfn.XLOOKUP($B36&amp;D$15,'Gas Useage'!$A$4:$A$15&amp;'Gas Useage'!$B$4:$B$15,_xlfn.XLOOKUP($C36&amp;D$14,'Gas Useage'!$C$2:$AB$2&amp;'Gas Useage'!$C$3:$AB$3,'Gas Useage'!$C$4:$AB$15))/_xlfn.XLOOKUP($B36&amp;D$15,'Gas Useage'!$A$4:$A$15&amp;'Gas Useage'!$B$4:$B$15,_xlfn.XLOOKUP(D$14,'Gas Useage'!$AA$3:$AB$3,'Gas Useage'!$AA$4:$AB$15))</f>
        <v>4.9109718076197325E-3</v>
      </c>
      <c r="E36" s="259" cm="1">
        <f t="array" aca="1" ref="E36" ca="1">_xlfn.XLOOKUP(E$13,INDIRECT("'"&amp;$B36&amp;" EI'!$B$6:$B$53"),_xlfn.XLOOKUP($C$10,INDIRECT("'"&amp;$B36&amp;" EI'!$D$4:$Z$4"),INDIRECT("'"&amp;$B36&amp;" EI'!$D$6:$Z$53")))*_xlfn.XLOOKUP($B36&amp;E$15,'Gas Useage'!$A$4:$A$15&amp;'Gas Useage'!$B$4:$B$15,_xlfn.XLOOKUP($C36&amp;E$14,'Gas Useage'!$C$2:$AB$2&amp;'Gas Useage'!$C$3:$AB$3,'Gas Useage'!$C$4:$AB$15))/_xlfn.XLOOKUP($B36&amp;E$15,'Gas Useage'!$A$4:$A$15&amp;'Gas Useage'!$B$4:$B$15,_xlfn.XLOOKUP(E$14,'Gas Useage'!$AA$3:$AB$3,'Gas Useage'!$AA$4:$AB$15))</f>
        <v>1.3396088214019889E-3</v>
      </c>
      <c r="F36" s="259" cm="1">
        <f t="array" aca="1" ref="F36" ca="1">_xlfn.XLOOKUP(F$13,INDIRECT("'"&amp;$B36&amp;" EI'!$B$6:$B$53"),_xlfn.XLOOKUP($C$10,INDIRECT("'"&amp;$B36&amp;" EI'!$D$4:$Z$4"),INDIRECT("'"&amp;$B36&amp;" EI'!$D$6:$Z$53")))*_xlfn.XLOOKUP($B36&amp;F$15,'Gas Useage'!$A$4:$A$15&amp;'Gas Useage'!$B$4:$B$15,_xlfn.XLOOKUP($C36&amp;F$14,'Gas Useage'!$C$2:$AB$2&amp;'Gas Useage'!$C$3:$AB$3,'Gas Useage'!$C$4:$AB$15))/_xlfn.XLOOKUP($B36&amp;F$15,'Gas Useage'!$A$4:$A$15&amp;'Gas Useage'!$B$4:$B$15,_xlfn.XLOOKUP(F$14,'Gas Useage'!$AA$3:$AB$3,'Gas Useage'!$AA$4:$AB$15))</f>
        <v>3.911416474633625E-3</v>
      </c>
      <c r="G36" s="259" cm="1">
        <f t="array" aca="1" ref="G36" ca="1">_xlfn.XLOOKUP(G$13,INDIRECT("'"&amp;$B36&amp;" EI'!$B$6:$B$53"),_xlfn.XLOOKUP($C$10,INDIRECT("'"&amp;$B36&amp;" EI'!$D$4:$Z$4"),INDIRECT("'"&amp;$B36&amp;" EI'!$D$6:$Z$53")))*_xlfn.XLOOKUP($B36&amp;G$15,'Gas Useage'!$A$4:$A$15&amp;'Gas Useage'!$B$4:$B$15,_xlfn.XLOOKUP($C36&amp;G$14,'Gas Useage'!$C$2:$AB$2&amp;'Gas Useage'!$C$3:$AB$3,'Gas Useage'!$C$4:$AB$15))/_xlfn.XLOOKUP($B36&amp;G$15,'Gas Useage'!$A$4:$A$15&amp;'Gas Useage'!$B$4:$B$15,_xlfn.XLOOKUP(G$14,'Gas Useage'!$AA$3:$AB$3,'Gas Useage'!$AA$4:$AB$15))</f>
        <v>1.0669513527783625E-3</v>
      </c>
      <c r="H36" s="260" t="s">
        <v>278</v>
      </c>
      <c r="I36" s="260" t="s">
        <v>278</v>
      </c>
      <c r="J36" s="260" t="s">
        <v>278</v>
      </c>
      <c r="K36" s="261" t="s">
        <v>278</v>
      </c>
      <c r="N36" s="258"/>
    </row>
    <row r="37" spans="2:14" ht="13.5" x14ac:dyDescent="0.25">
      <c r="B37" s="32">
        <v>2021</v>
      </c>
      <c r="C37" s="494" t="s">
        <v>287</v>
      </c>
      <c r="D37" s="259" cm="1">
        <f t="array" aca="1" ref="D37" ca="1">_xlfn.XLOOKUP(D$13,INDIRECT("'"&amp;$B37&amp;" EI'!$B$6:$B$53"),_xlfn.XLOOKUP($C$10,INDIRECT("'"&amp;$B37&amp;" EI'!$D$4:$Z$4"),INDIRECT("'"&amp;$B37&amp;" EI'!$D$6:$Z$53")))*_xlfn.XLOOKUP($B37&amp;D$15,'Gas Useage'!$A$4:$A$15&amp;'Gas Useage'!$B$4:$B$15,_xlfn.XLOOKUP($C37&amp;D$14,'Gas Useage'!$C$2:$AB$2&amp;'Gas Useage'!$C$3:$AB$3,'Gas Useage'!$C$4:$AB$15))/_xlfn.XLOOKUP($B37&amp;D$15,'Gas Useage'!$A$4:$A$15&amp;'Gas Useage'!$B$4:$B$15,_xlfn.XLOOKUP(D$14,'Gas Useage'!$AA$3:$AB$3,'Gas Useage'!$AA$4:$AB$15))</f>
        <v>5.247431319112178E-3</v>
      </c>
      <c r="E37" s="259" cm="1">
        <f t="array" aca="1" ref="E37" ca="1">_xlfn.XLOOKUP(E$13,INDIRECT("'"&amp;$B37&amp;" EI'!$B$6:$B$53"),_xlfn.XLOOKUP($C$10,INDIRECT("'"&amp;$B37&amp;" EI'!$D$4:$Z$4"),INDIRECT("'"&amp;$B37&amp;" EI'!$D$6:$Z$53")))*_xlfn.XLOOKUP($B37&amp;E$15,'Gas Useage'!$A$4:$A$15&amp;'Gas Useage'!$B$4:$B$15,_xlfn.XLOOKUP($C37&amp;E$14,'Gas Useage'!$C$2:$AB$2&amp;'Gas Useage'!$C$3:$AB$3,'Gas Useage'!$C$4:$AB$15))/_xlfn.XLOOKUP($B37&amp;E$15,'Gas Useage'!$A$4:$A$15&amp;'Gas Useage'!$B$4:$B$15,_xlfn.XLOOKUP(E$14,'Gas Useage'!$AA$3:$AB$3,'Gas Useage'!$AA$4:$AB$15))</f>
        <v>1.2771827444009807E-3</v>
      </c>
      <c r="F37" s="259" cm="1">
        <f t="array" aca="1" ref="F37" ca="1">_xlfn.XLOOKUP(F$13,INDIRECT("'"&amp;$B37&amp;" EI'!$B$6:$B$53"),_xlfn.XLOOKUP($C$10,INDIRECT("'"&amp;$B37&amp;" EI'!$D$4:$Z$4"),INDIRECT("'"&amp;$B37&amp;" EI'!$D$6:$Z$53")))*_xlfn.XLOOKUP($B37&amp;F$15,'Gas Useage'!$A$4:$A$15&amp;'Gas Useage'!$B$4:$B$15,_xlfn.XLOOKUP($C37&amp;F$14,'Gas Useage'!$C$2:$AB$2&amp;'Gas Useage'!$C$3:$AB$3,'Gas Useage'!$C$4:$AB$15))/_xlfn.XLOOKUP($B37&amp;F$15,'Gas Useage'!$A$4:$A$15&amp;'Gas Useage'!$B$4:$B$15,_xlfn.XLOOKUP(F$14,'Gas Useage'!$AA$3:$AB$3,'Gas Useage'!$AA$4:$AB$15))</f>
        <v>4.273322521752128E-3</v>
      </c>
      <c r="G37" s="259" cm="1">
        <f t="array" aca="1" ref="G37" ca="1">_xlfn.XLOOKUP(G$13,INDIRECT("'"&amp;$B37&amp;" EI'!$B$6:$B$53"),_xlfn.XLOOKUP($C$10,INDIRECT("'"&amp;$B37&amp;" EI'!$D$4:$Z$4"),INDIRECT("'"&amp;$B37&amp;" EI'!$D$6:$Z$53")))*_xlfn.XLOOKUP($B37&amp;G$15,'Gas Useage'!$A$4:$A$15&amp;'Gas Useage'!$B$4:$B$15,_xlfn.XLOOKUP($C37&amp;G$14,'Gas Useage'!$C$2:$AB$2&amp;'Gas Useage'!$C$3:$AB$3,'Gas Useage'!$C$4:$AB$15))/_xlfn.XLOOKUP($B37&amp;G$15,'Gas Useage'!$A$4:$A$15&amp;'Gas Useage'!$B$4:$B$15,_xlfn.XLOOKUP(G$14,'Gas Useage'!$AA$3:$AB$3,'Gas Useage'!$AA$4:$AB$15))</f>
        <v>1.040092466987318E-3</v>
      </c>
      <c r="H37" s="260" t="s">
        <v>278</v>
      </c>
      <c r="I37" s="260" t="s">
        <v>278</v>
      </c>
      <c r="J37" s="260" t="s">
        <v>278</v>
      </c>
      <c r="K37" s="261" t="s">
        <v>278</v>
      </c>
      <c r="N37" s="258"/>
    </row>
    <row r="38" spans="2:14" ht="13.5" x14ac:dyDescent="0.25">
      <c r="B38" s="32">
        <v>2021</v>
      </c>
      <c r="C38" s="494" t="s">
        <v>288</v>
      </c>
      <c r="D38" s="259" cm="1">
        <f t="array" aca="1" ref="D38" ca="1">_xlfn.XLOOKUP(D$13,INDIRECT("'"&amp;$B38&amp;" EI'!$B$6:$B$53"),_xlfn.XLOOKUP($C$10,INDIRECT("'"&amp;$B38&amp;" EI'!$D$4:$Z$4"),INDIRECT("'"&amp;$B38&amp;" EI'!$D$6:$Z$53")))*_xlfn.XLOOKUP($B38&amp;D$15,'Gas Useage'!$A$4:$A$15&amp;'Gas Useage'!$B$4:$B$15,_xlfn.XLOOKUP($C38&amp;D$14,'Gas Useage'!$C$2:$AB$2&amp;'Gas Useage'!$C$3:$AB$3,'Gas Useage'!$C$4:$AB$15))/_xlfn.XLOOKUP($B38&amp;D$15,'Gas Useage'!$A$4:$A$15&amp;'Gas Useage'!$B$4:$B$15,_xlfn.XLOOKUP(D$14,'Gas Useage'!$AA$3:$AB$3,'Gas Useage'!$AA$4:$AB$15))</f>
        <v>1.653408038853425E-2</v>
      </c>
      <c r="E38" s="259" cm="1">
        <f t="array" aca="1" ref="E38" ca="1">_xlfn.XLOOKUP(E$13,INDIRECT("'"&amp;$B38&amp;" EI'!$B$6:$B$53"),_xlfn.XLOOKUP($C$10,INDIRECT("'"&amp;$B38&amp;" EI'!$D$4:$Z$4"),INDIRECT("'"&amp;$B38&amp;" EI'!$D$6:$Z$53")))*_xlfn.XLOOKUP($B38&amp;E$15,'Gas Useage'!$A$4:$A$15&amp;'Gas Useage'!$B$4:$B$15,_xlfn.XLOOKUP($C38&amp;E$14,'Gas Useage'!$C$2:$AB$2&amp;'Gas Useage'!$C$3:$AB$3,'Gas Useage'!$C$4:$AB$15))/_xlfn.XLOOKUP($B38&amp;E$15,'Gas Useage'!$A$4:$A$15&amp;'Gas Useage'!$B$4:$B$15,_xlfn.XLOOKUP(E$14,'Gas Useage'!$AA$3:$AB$3,'Gas Useage'!$AA$4:$AB$15))</f>
        <v>6.0472040656568667E-3</v>
      </c>
      <c r="F38" s="259" cm="1">
        <f t="array" aca="1" ref="F38" ca="1">_xlfn.XLOOKUP(F$13,INDIRECT("'"&amp;$B38&amp;" EI'!$B$6:$B$53"),_xlfn.XLOOKUP($C$10,INDIRECT("'"&amp;$B38&amp;" EI'!$D$4:$Z$4"),INDIRECT("'"&amp;$B38&amp;" EI'!$D$6:$Z$53")))*_xlfn.XLOOKUP($B38&amp;F$15,'Gas Useage'!$A$4:$A$15&amp;'Gas Useage'!$B$4:$B$15,_xlfn.XLOOKUP($C38&amp;F$14,'Gas Useage'!$C$2:$AB$2&amp;'Gas Useage'!$C$3:$AB$3,'Gas Useage'!$C$4:$AB$15))/_xlfn.XLOOKUP($B38&amp;F$15,'Gas Useage'!$A$4:$A$15&amp;'Gas Useage'!$B$4:$B$15,_xlfn.XLOOKUP(F$14,'Gas Useage'!$AA$3:$AB$3,'Gas Useage'!$AA$4:$AB$15))</f>
        <v>1.5066766154122077E-2</v>
      </c>
      <c r="G38" s="259" cm="1">
        <f t="array" aca="1" ref="G38" ca="1">_xlfn.XLOOKUP(G$13,INDIRECT("'"&amp;$B38&amp;" EI'!$B$6:$B$53"),_xlfn.XLOOKUP($C$10,INDIRECT("'"&amp;$B38&amp;" EI'!$D$4:$Z$4"),INDIRECT("'"&amp;$B38&amp;" EI'!$D$6:$Z$53")))*_xlfn.XLOOKUP($B38&amp;G$15,'Gas Useage'!$A$4:$A$15&amp;'Gas Useage'!$B$4:$B$15,_xlfn.XLOOKUP($C38&amp;G$14,'Gas Useage'!$C$2:$AB$2&amp;'Gas Useage'!$C$3:$AB$3,'Gas Useage'!$C$4:$AB$15))/_xlfn.XLOOKUP($B38&amp;G$15,'Gas Useage'!$A$4:$A$15&amp;'Gas Useage'!$B$4:$B$15,_xlfn.XLOOKUP(G$14,'Gas Useage'!$AA$3:$AB$3,'Gas Useage'!$AA$4:$AB$15))</f>
        <v>5.5105459392039034E-3</v>
      </c>
      <c r="H38" s="260" t="s">
        <v>278</v>
      </c>
      <c r="I38" s="260" t="s">
        <v>278</v>
      </c>
      <c r="J38" s="260" t="s">
        <v>278</v>
      </c>
      <c r="K38" s="261" t="s">
        <v>278</v>
      </c>
      <c r="N38" s="258"/>
    </row>
    <row r="39" spans="2:14" ht="13.5" x14ac:dyDescent="0.25">
      <c r="B39" s="32">
        <v>2021</v>
      </c>
      <c r="C39" s="494" t="s">
        <v>289</v>
      </c>
      <c r="D39" s="259" cm="1">
        <f t="array" aca="1" ref="D39" ca="1">_xlfn.XLOOKUP(D$13,INDIRECT("'"&amp;$B39&amp;" EI'!$B$6:$B$53"),_xlfn.XLOOKUP($C$10,INDIRECT("'"&amp;$B39&amp;" EI'!$D$4:$Z$4"),INDIRECT("'"&amp;$B39&amp;" EI'!$D$6:$Z$53")))*_xlfn.XLOOKUP($B39&amp;D$15,'Gas Useage'!$A$4:$A$15&amp;'Gas Useage'!$B$4:$B$15,_xlfn.XLOOKUP($C39&amp;D$14,'Gas Useage'!$C$2:$AB$2&amp;'Gas Useage'!$C$3:$AB$3,'Gas Useage'!$C$4:$AB$15))/_xlfn.XLOOKUP($B39&amp;D$15,'Gas Useage'!$A$4:$A$15&amp;'Gas Useage'!$B$4:$B$15,_xlfn.XLOOKUP(D$14,'Gas Useage'!$AA$3:$AB$3,'Gas Useage'!$AA$4:$AB$15))</f>
        <v>9.9184486557664375E-3</v>
      </c>
      <c r="E39" s="259" cm="1">
        <f t="array" aca="1" ref="E39" ca="1">_xlfn.XLOOKUP(E$13,INDIRECT("'"&amp;$B39&amp;" EI'!$B$6:$B$53"),_xlfn.XLOOKUP($C$10,INDIRECT("'"&amp;$B39&amp;" EI'!$D$4:$Z$4"),INDIRECT("'"&amp;$B39&amp;" EI'!$D$6:$Z$53")))*_xlfn.XLOOKUP($B39&amp;E$15,'Gas Useage'!$A$4:$A$15&amp;'Gas Useage'!$B$4:$B$15,_xlfn.XLOOKUP($C39&amp;E$14,'Gas Useage'!$C$2:$AB$2&amp;'Gas Useage'!$C$3:$AB$3,'Gas Useage'!$C$4:$AB$15))/_xlfn.XLOOKUP($B39&amp;E$15,'Gas Useage'!$A$4:$A$15&amp;'Gas Useage'!$B$4:$B$15,_xlfn.XLOOKUP(E$14,'Gas Useage'!$AA$3:$AB$3,'Gas Useage'!$AA$4:$AB$15))</f>
        <v>3.4705905591479922E-3</v>
      </c>
      <c r="F39" s="259" cm="1">
        <f t="array" aca="1" ref="F39" ca="1">_xlfn.XLOOKUP(F$13,INDIRECT("'"&amp;$B39&amp;" EI'!$B$6:$B$53"),_xlfn.XLOOKUP($C$10,INDIRECT("'"&amp;$B39&amp;" EI'!$D$4:$Z$4"),INDIRECT("'"&amp;$B39&amp;" EI'!$D$6:$Z$53")))*_xlfn.XLOOKUP($B39&amp;F$15,'Gas Useage'!$A$4:$A$15&amp;'Gas Useage'!$B$4:$B$15,_xlfn.XLOOKUP($C39&amp;F$14,'Gas Useage'!$C$2:$AB$2&amp;'Gas Useage'!$C$3:$AB$3,'Gas Useage'!$C$4:$AB$15))/_xlfn.XLOOKUP($B39&amp;F$15,'Gas Useage'!$A$4:$A$15&amp;'Gas Useage'!$B$4:$B$15,_xlfn.XLOOKUP(F$14,'Gas Useage'!$AA$3:$AB$3,'Gas Useage'!$AA$4:$AB$15))</f>
        <v>9.6338446771217796E-3</v>
      </c>
      <c r="G39" s="259" cm="1">
        <f t="array" aca="1" ref="G39" ca="1">_xlfn.XLOOKUP(G$13,INDIRECT("'"&amp;$B39&amp;" EI'!$B$6:$B$53"),_xlfn.XLOOKUP($C$10,INDIRECT("'"&amp;$B39&amp;" EI'!$D$4:$Z$4"),INDIRECT("'"&amp;$B39&amp;" EI'!$D$6:$Z$53")))*_xlfn.XLOOKUP($B39&amp;G$15,'Gas Useage'!$A$4:$A$15&amp;'Gas Useage'!$B$4:$B$15,_xlfn.XLOOKUP($C39&amp;G$14,'Gas Useage'!$C$2:$AB$2&amp;'Gas Useage'!$C$3:$AB$3,'Gas Useage'!$C$4:$AB$15))/_xlfn.XLOOKUP($B39&amp;G$15,'Gas Useage'!$A$4:$A$15&amp;'Gas Useage'!$B$4:$B$15,_xlfn.XLOOKUP(G$14,'Gas Useage'!$AA$3:$AB$3,'Gas Useage'!$AA$4:$AB$15))</f>
        <v>3.3710040294737307E-3</v>
      </c>
      <c r="H39" s="260" t="s">
        <v>278</v>
      </c>
      <c r="I39" s="260" t="s">
        <v>278</v>
      </c>
      <c r="J39" s="260" t="s">
        <v>278</v>
      </c>
      <c r="K39" s="261" t="s">
        <v>278</v>
      </c>
      <c r="N39" s="258"/>
    </row>
    <row r="40" spans="2:14" ht="13.5" x14ac:dyDescent="0.25">
      <c r="B40" s="32">
        <v>2022</v>
      </c>
      <c r="C40" s="494" t="s">
        <v>277</v>
      </c>
      <c r="D40" s="259" cm="1">
        <f t="array" aca="1" ref="D40" ca="1">_xlfn.XLOOKUP(D$13,INDIRECT("'"&amp;$B40&amp;" EI'!$B$6:$B$53"),_xlfn.XLOOKUP($C$10,INDIRECT("'"&amp;$B40&amp;" EI'!$D$4:$Z$4"),INDIRECT("'"&amp;$B40&amp;" EI'!$D$6:$Z$53")))*_xlfn.XLOOKUP($B40&amp;D$15,'Gas Useage'!$A$4:$A$15&amp;'Gas Useage'!$B$4:$B$15,_xlfn.XLOOKUP($C40&amp;D$14,'Gas Useage'!$C$2:$AB$2&amp;'Gas Useage'!$C$3:$AB$3,'Gas Useage'!$C$4:$AB$15))/_xlfn.XLOOKUP($B40&amp;D$15,'Gas Useage'!$A$4:$A$15&amp;'Gas Useage'!$B$4:$B$15,_xlfn.XLOOKUP(D$14,'Gas Useage'!$AA$3:$AB$3,'Gas Useage'!$AA$4:$AB$15))</f>
        <v>1.0585500545671662E-2</v>
      </c>
      <c r="E40" s="259" cm="1">
        <f t="array" aca="1" ref="E40" ca="1">_xlfn.XLOOKUP(E$13,INDIRECT("'"&amp;$B40&amp;" EI'!$B$6:$B$53"),_xlfn.XLOOKUP($C$10,INDIRECT("'"&amp;$B40&amp;" EI'!$D$4:$Z$4"),INDIRECT("'"&amp;$B40&amp;" EI'!$D$6:$Z$53")))*_xlfn.XLOOKUP($B40&amp;E$15,'Gas Useage'!$A$4:$A$15&amp;'Gas Useage'!$B$4:$B$15,_xlfn.XLOOKUP($C40&amp;E$14,'Gas Useage'!$C$2:$AB$2&amp;'Gas Useage'!$C$3:$AB$3,'Gas Useage'!$C$4:$AB$15))/_xlfn.XLOOKUP($B40&amp;E$15,'Gas Useage'!$A$4:$A$15&amp;'Gas Useage'!$B$4:$B$15,_xlfn.XLOOKUP(E$14,'Gas Useage'!$AA$3:$AB$3,'Gas Useage'!$AA$4:$AB$15))</f>
        <v>4.916082045393279E-3</v>
      </c>
      <c r="F40" s="259" cm="1">
        <f t="array" aca="1" ref="F40" ca="1">_xlfn.XLOOKUP(F$13,INDIRECT("'"&amp;$B40&amp;" EI'!$B$6:$B$53"),_xlfn.XLOOKUP($C$10,INDIRECT("'"&amp;$B40&amp;" EI'!$D$4:$Z$4"),INDIRECT("'"&amp;$B40&amp;" EI'!$D$6:$Z$53")))*_xlfn.XLOOKUP($B40&amp;F$15,'Gas Useage'!$A$4:$A$15&amp;'Gas Useage'!$B$4:$B$15,_xlfn.XLOOKUP($C40&amp;F$14,'Gas Useage'!$C$2:$AB$2&amp;'Gas Useage'!$C$3:$AB$3,'Gas Useage'!$C$4:$AB$15))/_xlfn.XLOOKUP($B40&amp;F$15,'Gas Useage'!$A$4:$A$15&amp;'Gas Useage'!$B$4:$B$15,_xlfn.XLOOKUP(F$14,'Gas Useage'!$AA$3:$AB$3,'Gas Useage'!$AA$4:$AB$15))</f>
        <v>9.4123693671225583E-3</v>
      </c>
      <c r="G40" s="259" cm="1">
        <f t="array" aca="1" ref="G40" ca="1">_xlfn.XLOOKUP(G$13,INDIRECT("'"&amp;$B40&amp;" EI'!$B$6:$B$53"),_xlfn.XLOOKUP($C$10,INDIRECT("'"&amp;$B40&amp;" EI'!$D$4:$Z$4"),INDIRECT("'"&amp;$B40&amp;" EI'!$D$6:$Z$53")))*_xlfn.XLOOKUP($B40&amp;G$15,'Gas Useage'!$A$4:$A$15&amp;'Gas Useage'!$B$4:$B$15,_xlfn.XLOOKUP($C40&amp;G$14,'Gas Useage'!$C$2:$AB$2&amp;'Gas Useage'!$C$3:$AB$3,'Gas Useage'!$C$4:$AB$15))/_xlfn.XLOOKUP($B40&amp;G$15,'Gas Useage'!$A$4:$A$15&amp;'Gas Useage'!$B$4:$B$15,_xlfn.XLOOKUP(G$14,'Gas Useage'!$AA$3:$AB$3,'Gas Useage'!$AA$4:$AB$15))</f>
        <v>4.3712604662082977E-3</v>
      </c>
      <c r="H40" s="260" t="s">
        <v>278</v>
      </c>
      <c r="I40" s="260" t="s">
        <v>278</v>
      </c>
      <c r="J40" s="260" t="s">
        <v>278</v>
      </c>
      <c r="K40" s="261" t="s">
        <v>278</v>
      </c>
      <c r="N40" s="258"/>
    </row>
    <row r="41" spans="2:14" ht="13.5" x14ac:dyDescent="0.25">
      <c r="B41" s="32">
        <v>2022</v>
      </c>
      <c r="C41" s="494" t="s">
        <v>279</v>
      </c>
      <c r="D41" s="259" cm="1">
        <f t="array" aca="1" ref="D41" ca="1">_xlfn.XLOOKUP(D$13,INDIRECT("'"&amp;$B41&amp;" EI'!$B$6:$B$53"),_xlfn.XLOOKUP($C$10,INDIRECT("'"&amp;$B41&amp;" EI'!$D$4:$Z$4"),INDIRECT("'"&amp;$B41&amp;" EI'!$D$6:$Z$53")))*_xlfn.XLOOKUP($B41&amp;D$15,'Gas Useage'!$A$4:$A$15&amp;'Gas Useage'!$B$4:$B$15,_xlfn.XLOOKUP($C41&amp;D$14,'Gas Useage'!$C$2:$AB$2&amp;'Gas Useage'!$C$3:$AB$3,'Gas Useage'!$C$4:$AB$15))/_xlfn.XLOOKUP($B41&amp;D$15,'Gas Useage'!$A$4:$A$15&amp;'Gas Useage'!$B$4:$B$15,_xlfn.XLOOKUP(D$14,'Gas Useage'!$AA$3:$AB$3,'Gas Useage'!$AA$4:$AB$15))</f>
        <v>1.0090578171115444E-2</v>
      </c>
      <c r="E41" s="259" cm="1">
        <f t="array" aca="1" ref="E41" ca="1">_xlfn.XLOOKUP(E$13,INDIRECT("'"&amp;$B41&amp;" EI'!$B$6:$B$53"),_xlfn.XLOOKUP($C$10,INDIRECT("'"&amp;$B41&amp;" EI'!$D$4:$Z$4"),INDIRECT("'"&amp;$B41&amp;" EI'!$D$6:$Z$53")))*_xlfn.XLOOKUP($B41&amp;E$15,'Gas Useage'!$A$4:$A$15&amp;'Gas Useage'!$B$4:$B$15,_xlfn.XLOOKUP($C41&amp;E$14,'Gas Useage'!$C$2:$AB$2&amp;'Gas Useage'!$C$3:$AB$3,'Gas Useage'!$C$4:$AB$15))/_xlfn.XLOOKUP($B41&amp;E$15,'Gas Useage'!$A$4:$A$15&amp;'Gas Useage'!$B$4:$B$15,_xlfn.XLOOKUP(E$14,'Gas Useage'!$AA$3:$AB$3,'Gas Useage'!$AA$4:$AB$15))</f>
        <v>4.1928293463996159E-3</v>
      </c>
      <c r="F41" s="259" cm="1">
        <f t="array" aca="1" ref="F41" ca="1">_xlfn.XLOOKUP(F$13,INDIRECT("'"&amp;$B41&amp;" EI'!$B$6:$B$53"),_xlfn.XLOOKUP($C$10,INDIRECT("'"&amp;$B41&amp;" EI'!$D$4:$Z$4"),INDIRECT("'"&amp;$B41&amp;" EI'!$D$6:$Z$53")))*_xlfn.XLOOKUP($B41&amp;F$15,'Gas Useage'!$A$4:$A$15&amp;'Gas Useage'!$B$4:$B$15,_xlfn.XLOOKUP($C41&amp;F$14,'Gas Useage'!$C$2:$AB$2&amp;'Gas Useage'!$C$3:$AB$3,'Gas Useage'!$C$4:$AB$15))/_xlfn.XLOOKUP($B41&amp;F$15,'Gas Useage'!$A$4:$A$15&amp;'Gas Useage'!$B$4:$B$15,_xlfn.XLOOKUP(F$14,'Gas Useage'!$AA$3:$AB$3,'Gas Useage'!$AA$4:$AB$15))</f>
        <v>6.7668859004254827E-3</v>
      </c>
      <c r="G41" s="259" cm="1">
        <f t="array" aca="1" ref="G41" ca="1">_xlfn.XLOOKUP(G$13,INDIRECT("'"&amp;$B41&amp;" EI'!$B$6:$B$53"),_xlfn.XLOOKUP($C$10,INDIRECT("'"&amp;$B41&amp;" EI'!$D$4:$Z$4"),INDIRECT("'"&amp;$B41&amp;" EI'!$D$6:$Z$53")))*_xlfn.XLOOKUP($B41&amp;G$15,'Gas Useage'!$A$4:$A$15&amp;'Gas Useage'!$B$4:$B$15,_xlfn.XLOOKUP($C41&amp;G$14,'Gas Useage'!$C$2:$AB$2&amp;'Gas Useage'!$C$3:$AB$3,'Gas Useage'!$C$4:$AB$15))/_xlfn.XLOOKUP($B41&amp;G$15,'Gas Useage'!$A$4:$A$15&amp;'Gas Useage'!$B$4:$B$15,_xlfn.XLOOKUP(G$14,'Gas Useage'!$AA$3:$AB$3,'Gas Useage'!$AA$4:$AB$15))</f>
        <v>2.8117712687919624E-3</v>
      </c>
      <c r="H41" s="260" t="s">
        <v>278</v>
      </c>
      <c r="I41" s="260" t="s">
        <v>278</v>
      </c>
      <c r="J41" s="260" t="s">
        <v>278</v>
      </c>
      <c r="K41" s="261" t="s">
        <v>278</v>
      </c>
      <c r="N41" s="258"/>
    </row>
    <row r="42" spans="2:14" ht="13.5" x14ac:dyDescent="0.25">
      <c r="B42" s="32">
        <v>2022</v>
      </c>
      <c r="C42" s="494" t="s">
        <v>280</v>
      </c>
      <c r="D42" s="259" cm="1">
        <f t="array" aca="1" ref="D42" ca="1">_xlfn.XLOOKUP(D$13,INDIRECT("'"&amp;$B42&amp;" EI'!$B$6:$B$53"),_xlfn.XLOOKUP($C$10,INDIRECT("'"&amp;$B42&amp;" EI'!$D$4:$Z$4"),INDIRECT("'"&amp;$B42&amp;" EI'!$D$6:$Z$53")))*_xlfn.XLOOKUP($B42&amp;D$15,'Gas Useage'!$A$4:$A$15&amp;'Gas Useage'!$B$4:$B$15,_xlfn.XLOOKUP($C42&amp;D$14,'Gas Useage'!$C$2:$AB$2&amp;'Gas Useage'!$C$3:$AB$3,'Gas Useage'!$C$4:$AB$15))/_xlfn.XLOOKUP($B42&amp;D$15,'Gas Useage'!$A$4:$A$15&amp;'Gas Useage'!$B$4:$B$15,_xlfn.XLOOKUP(D$14,'Gas Useage'!$AA$3:$AB$3,'Gas Useage'!$AA$4:$AB$15))</f>
        <v>1.1692769183944518E-2</v>
      </c>
      <c r="E42" s="259" cm="1">
        <f t="array" aca="1" ref="E42" ca="1">_xlfn.XLOOKUP(E$13,INDIRECT("'"&amp;$B42&amp;" EI'!$B$6:$B$53"),_xlfn.XLOOKUP($C$10,INDIRECT("'"&amp;$B42&amp;" EI'!$D$4:$Z$4"),INDIRECT("'"&amp;$B42&amp;" EI'!$D$6:$Z$53")))*_xlfn.XLOOKUP($B42&amp;E$15,'Gas Useage'!$A$4:$A$15&amp;'Gas Useage'!$B$4:$B$15,_xlfn.XLOOKUP($C42&amp;E$14,'Gas Useage'!$C$2:$AB$2&amp;'Gas Useage'!$C$3:$AB$3,'Gas Useage'!$C$4:$AB$15))/_xlfn.XLOOKUP($B42&amp;E$15,'Gas Useage'!$A$4:$A$15&amp;'Gas Useage'!$B$4:$B$15,_xlfn.XLOOKUP(E$14,'Gas Useage'!$AA$3:$AB$3,'Gas Useage'!$AA$4:$AB$15))</f>
        <v>4.3491569115027421E-3</v>
      </c>
      <c r="F42" s="259" cm="1">
        <f t="array" aca="1" ref="F42" ca="1">_xlfn.XLOOKUP(F$13,INDIRECT("'"&amp;$B42&amp;" EI'!$B$6:$B$53"),_xlfn.XLOOKUP($C$10,INDIRECT("'"&amp;$B42&amp;" EI'!$D$4:$Z$4"),INDIRECT("'"&amp;$B42&amp;" EI'!$D$6:$Z$53")))*_xlfn.XLOOKUP($B42&amp;F$15,'Gas Useage'!$A$4:$A$15&amp;'Gas Useage'!$B$4:$B$15,_xlfn.XLOOKUP($C42&amp;F$14,'Gas Useage'!$C$2:$AB$2&amp;'Gas Useage'!$C$3:$AB$3,'Gas Useage'!$C$4:$AB$15))/_xlfn.XLOOKUP($B42&amp;F$15,'Gas Useage'!$A$4:$A$15&amp;'Gas Useage'!$B$4:$B$15,_xlfn.XLOOKUP(F$14,'Gas Useage'!$AA$3:$AB$3,'Gas Useage'!$AA$4:$AB$15))</f>
        <v>5.5396623082311566E-3</v>
      </c>
      <c r="G42" s="259" cm="1">
        <f t="array" aca="1" ref="G42" ca="1">_xlfn.XLOOKUP(G$13,INDIRECT("'"&amp;$B42&amp;" EI'!$B$6:$B$53"),_xlfn.XLOOKUP($C$10,INDIRECT("'"&amp;$B42&amp;" EI'!$D$4:$Z$4"),INDIRECT("'"&amp;$B42&amp;" EI'!$D$6:$Z$53")))*_xlfn.XLOOKUP($B42&amp;G$15,'Gas Useage'!$A$4:$A$15&amp;'Gas Useage'!$B$4:$B$15,_xlfn.XLOOKUP($C42&amp;G$14,'Gas Useage'!$C$2:$AB$2&amp;'Gas Useage'!$C$3:$AB$3,'Gas Useage'!$C$4:$AB$15))/_xlfn.XLOOKUP($B42&amp;G$15,'Gas Useage'!$A$4:$A$15&amp;'Gas Useage'!$B$4:$B$15,_xlfn.XLOOKUP(G$14,'Gas Useage'!$AA$3:$AB$3,'Gas Useage'!$AA$4:$AB$15))</f>
        <v>2.0604922782805771E-3</v>
      </c>
      <c r="H42" s="260" t="s">
        <v>278</v>
      </c>
      <c r="I42" s="260" t="s">
        <v>278</v>
      </c>
      <c r="J42" s="260" t="s">
        <v>278</v>
      </c>
      <c r="K42" s="261" t="s">
        <v>278</v>
      </c>
      <c r="N42" s="258"/>
    </row>
    <row r="43" spans="2:14" ht="13.5" x14ac:dyDescent="0.25">
      <c r="B43" s="32">
        <v>2022</v>
      </c>
      <c r="C43" s="494" t="s">
        <v>281</v>
      </c>
      <c r="D43" s="259" cm="1">
        <f t="array" aca="1" ref="D43" ca="1">_xlfn.XLOOKUP(D$13,INDIRECT("'"&amp;$B43&amp;" EI'!$B$6:$B$53"),_xlfn.XLOOKUP($C$10,INDIRECT("'"&amp;$B43&amp;" EI'!$D$4:$Z$4"),INDIRECT("'"&amp;$B43&amp;" EI'!$D$6:$Z$53")))*_xlfn.XLOOKUP($B43&amp;D$15,'Gas Useage'!$A$4:$A$15&amp;'Gas Useage'!$B$4:$B$15,_xlfn.XLOOKUP($C43&amp;D$14,'Gas Useage'!$C$2:$AB$2&amp;'Gas Useage'!$C$3:$AB$3,'Gas Useage'!$C$4:$AB$15))/_xlfn.XLOOKUP($B43&amp;D$15,'Gas Useage'!$A$4:$A$15&amp;'Gas Useage'!$B$4:$B$15,_xlfn.XLOOKUP(D$14,'Gas Useage'!$AA$3:$AB$3,'Gas Useage'!$AA$4:$AB$15))</f>
        <v>1.1987066679990666E-2</v>
      </c>
      <c r="E43" s="259" cm="1">
        <f t="array" aca="1" ref="E43" ca="1">_xlfn.XLOOKUP(E$13,INDIRECT("'"&amp;$B43&amp;" EI'!$B$6:$B$53"),_xlfn.XLOOKUP($C$10,INDIRECT("'"&amp;$B43&amp;" EI'!$D$4:$Z$4"),INDIRECT("'"&amp;$B43&amp;" EI'!$D$6:$Z$53")))*_xlfn.XLOOKUP($B43&amp;E$15,'Gas Useage'!$A$4:$A$15&amp;'Gas Useage'!$B$4:$B$15,_xlfn.XLOOKUP($C43&amp;E$14,'Gas Useage'!$C$2:$AB$2&amp;'Gas Useage'!$C$3:$AB$3,'Gas Useage'!$C$4:$AB$15))/_xlfn.XLOOKUP($B43&amp;E$15,'Gas Useage'!$A$4:$A$15&amp;'Gas Useage'!$B$4:$B$15,_xlfn.XLOOKUP(E$14,'Gas Useage'!$AA$3:$AB$3,'Gas Useage'!$AA$4:$AB$15))</f>
        <v>4.9219731670634009E-3</v>
      </c>
      <c r="F43" s="259" cm="1">
        <f t="array" aca="1" ref="F43" ca="1">_xlfn.XLOOKUP(F$13,INDIRECT("'"&amp;$B43&amp;" EI'!$B$6:$B$53"),_xlfn.XLOOKUP($C$10,INDIRECT("'"&amp;$B43&amp;" EI'!$D$4:$Z$4"),INDIRECT("'"&amp;$B43&amp;" EI'!$D$6:$Z$53")))*_xlfn.XLOOKUP($B43&amp;F$15,'Gas Useage'!$A$4:$A$15&amp;'Gas Useage'!$B$4:$B$15,_xlfn.XLOOKUP($C43&amp;F$14,'Gas Useage'!$C$2:$AB$2&amp;'Gas Useage'!$C$3:$AB$3,'Gas Useage'!$C$4:$AB$15))/_xlfn.XLOOKUP($B43&amp;F$15,'Gas Useage'!$A$4:$A$15&amp;'Gas Useage'!$B$4:$B$15,_xlfn.XLOOKUP(F$14,'Gas Useage'!$AA$3:$AB$3,'Gas Useage'!$AA$4:$AB$15))</f>
        <v>9.6678649764887561E-3</v>
      </c>
      <c r="G43" s="259" cm="1">
        <f t="array" aca="1" ref="G43" ca="1">_xlfn.XLOOKUP(G$13,INDIRECT("'"&amp;$B43&amp;" EI'!$B$6:$B$53"),_xlfn.XLOOKUP($C$10,INDIRECT("'"&amp;$B43&amp;" EI'!$D$4:$Z$4"),INDIRECT("'"&amp;$B43&amp;" EI'!$D$6:$Z$53")))*_xlfn.XLOOKUP($B43&amp;G$15,'Gas Useage'!$A$4:$A$15&amp;'Gas Useage'!$B$4:$B$15,_xlfn.XLOOKUP($C43&amp;G$14,'Gas Useage'!$C$2:$AB$2&amp;'Gas Useage'!$C$3:$AB$3,'Gas Useage'!$C$4:$AB$15))/_xlfn.XLOOKUP($B43&amp;G$15,'Gas Useage'!$A$4:$A$15&amp;'Gas Useage'!$B$4:$B$15,_xlfn.XLOOKUP(G$14,'Gas Useage'!$AA$3:$AB$3,'Gas Useage'!$AA$4:$AB$15))</f>
        <v>3.9696927753393244E-3</v>
      </c>
      <c r="H43" s="260" t="s">
        <v>278</v>
      </c>
      <c r="I43" s="260" t="s">
        <v>278</v>
      </c>
      <c r="J43" s="260" t="s">
        <v>278</v>
      </c>
      <c r="K43" s="261" t="s">
        <v>278</v>
      </c>
      <c r="N43" s="258"/>
    </row>
    <row r="44" spans="2:14" ht="13.5" x14ac:dyDescent="0.25">
      <c r="B44" s="32">
        <v>2022</v>
      </c>
      <c r="C44" s="494" t="s">
        <v>282</v>
      </c>
      <c r="D44" s="259" cm="1">
        <f t="array" aca="1" ref="D44" ca="1">_xlfn.XLOOKUP(D$13,INDIRECT("'"&amp;$B44&amp;" EI'!$B$6:$B$53"),_xlfn.XLOOKUP($C$10,INDIRECT("'"&amp;$B44&amp;" EI'!$D$4:$Z$4"),INDIRECT("'"&amp;$B44&amp;" EI'!$D$6:$Z$53")))*_xlfn.XLOOKUP($B44&amp;D$15,'Gas Useage'!$A$4:$A$15&amp;'Gas Useage'!$B$4:$B$15,_xlfn.XLOOKUP($C44&amp;D$14,'Gas Useage'!$C$2:$AB$2&amp;'Gas Useage'!$C$3:$AB$3,'Gas Useage'!$C$4:$AB$15))/_xlfn.XLOOKUP($B44&amp;D$15,'Gas Useage'!$A$4:$A$15&amp;'Gas Useage'!$B$4:$B$15,_xlfn.XLOOKUP(D$14,'Gas Useage'!$AA$3:$AB$3,'Gas Useage'!$AA$4:$AB$15))</f>
        <v>8.2428698660604524E-3</v>
      </c>
      <c r="E44" s="259" cm="1">
        <f t="array" aca="1" ref="E44" ca="1">_xlfn.XLOOKUP(E$13,INDIRECT("'"&amp;$B44&amp;" EI'!$B$6:$B$53"),_xlfn.XLOOKUP($C$10,INDIRECT("'"&amp;$B44&amp;" EI'!$D$4:$Z$4"),INDIRECT("'"&amp;$B44&amp;" EI'!$D$6:$Z$53")))*_xlfn.XLOOKUP($B44&amp;E$15,'Gas Useage'!$A$4:$A$15&amp;'Gas Useage'!$B$4:$B$15,_xlfn.XLOOKUP($C44&amp;E$14,'Gas Useage'!$C$2:$AB$2&amp;'Gas Useage'!$C$3:$AB$3,'Gas Useage'!$C$4:$AB$15))/_xlfn.XLOOKUP($B44&amp;E$15,'Gas Useage'!$A$4:$A$15&amp;'Gas Useage'!$B$4:$B$15,_xlfn.XLOOKUP(E$14,'Gas Useage'!$AA$3:$AB$3,'Gas Useage'!$AA$4:$AB$15))</f>
        <v>3.5269904427123189E-3</v>
      </c>
      <c r="F44" s="259" cm="1">
        <f t="array" aca="1" ref="F44" ca="1">_xlfn.XLOOKUP(F$13,INDIRECT("'"&amp;$B44&amp;" EI'!$B$6:$B$53"),_xlfn.XLOOKUP($C$10,INDIRECT("'"&amp;$B44&amp;" EI'!$D$4:$Z$4"),INDIRECT("'"&amp;$B44&amp;" EI'!$D$6:$Z$53")))*_xlfn.XLOOKUP($B44&amp;F$15,'Gas Useage'!$A$4:$A$15&amp;'Gas Useage'!$B$4:$B$15,_xlfn.XLOOKUP($C44&amp;F$14,'Gas Useage'!$C$2:$AB$2&amp;'Gas Useage'!$C$3:$AB$3,'Gas Useage'!$C$4:$AB$15))/_xlfn.XLOOKUP($B44&amp;F$15,'Gas Useage'!$A$4:$A$15&amp;'Gas Useage'!$B$4:$B$15,_xlfn.XLOOKUP(F$14,'Gas Useage'!$AA$3:$AB$3,'Gas Useage'!$AA$4:$AB$15))</f>
        <v>4.7780483606425748E-3</v>
      </c>
      <c r="G44" s="259" cm="1">
        <f t="array" aca="1" ref="G44" ca="1">_xlfn.XLOOKUP(G$13,INDIRECT("'"&amp;$B44&amp;" EI'!$B$6:$B$53"),_xlfn.XLOOKUP($C$10,INDIRECT("'"&amp;$B44&amp;" EI'!$D$4:$Z$4"),INDIRECT("'"&amp;$B44&amp;" EI'!$D$6:$Z$53")))*_xlfn.XLOOKUP($B44&amp;G$15,'Gas Useage'!$A$4:$A$15&amp;'Gas Useage'!$B$4:$B$15,_xlfn.XLOOKUP($C44&amp;G$14,'Gas Useage'!$C$2:$AB$2&amp;'Gas Useage'!$C$3:$AB$3,'Gas Useage'!$C$4:$AB$15))/_xlfn.XLOOKUP($B44&amp;G$15,'Gas Useage'!$A$4:$A$15&amp;'Gas Useage'!$B$4:$B$15,_xlfn.XLOOKUP(G$14,'Gas Useage'!$AA$3:$AB$3,'Gas Useage'!$AA$4:$AB$15))</f>
        <v>2.0444494668284533E-3</v>
      </c>
      <c r="H44" s="260" t="s">
        <v>278</v>
      </c>
      <c r="I44" s="260" t="s">
        <v>278</v>
      </c>
      <c r="J44" s="260" t="s">
        <v>278</v>
      </c>
      <c r="K44" s="261" t="s">
        <v>278</v>
      </c>
      <c r="N44" s="258"/>
    </row>
    <row r="45" spans="2:14" ht="13.5" x14ac:dyDescent="0.25">
      <c r="B45" s="32">
        <v>2022</v>
      </c>
      <c r="C45" s="494" t="s">
        <v>283</v>
      </c>
      <c r="D45" s="259" cm="1">
        <f t="array" aca="1" ref="D45" ca="1">_xlfn.XLOOKUP(D$13,INDIRECT("'"&amp;$B45&amp;" EI'!$B$6:$B$53"),_xlfn.XLOOKUP($C$10,INDIRECT("'"&amp;$B45&amp;" EI'!$D$4:$Z$4"),INDIRECT("'"&amp;$B45&amp;" EI'!$D$6:$Z$53")))*_xlfn.XLOOKUP($B45&amp;D$15,'Gas Useage'!$A$4:$A$15&amp;'Gas Useage'!$B$4:$B$15,_xlfn.XLOOKUP($C45&amp;D$14,'Gas Useage'!$C$2:$AB$2&amp;'Gas Useage'!$C$3:$AB$3,'Gas Useage'!$C$4:$AB$15))/_xlfn.XLOOKUP($B45&amp;D$15,'Gas Useage'!$A$4:$A$15&amp;'Gas Useage'!$B$4:$B$15,_xlfn.XLOOKUP(D$14,'Gas Useage'!$AA$3:$AB$3,'Gas Useage'!$AA$4:$AB$15))</f>
        <v>2.10358232188605E-3</v>
      </c>
      <c r="E45" s="259" cm="1">
        <f t="array" aca="1" ref="E45" ca="1">_xlfn.XLOOKUP(E$13,INDIRECT("'"&amp;$B45&amp;" EI'!$B$6:$B$53"),_xlfn.XLOOKUP($C$10,INDIRECT("'"&amp;$B45&amp;" EI'!$D$4:$Z$4"),INDIRECT("'"&amp;$B45&amp;" EI'!$D$6:$Z$53")))*_xlfn.XLOOKUP($B45&amp;E$15,'Gas Useage'!$A$4:$A$15&amp;'Gas Useage'!$B$4:$B$15,_xlfn.XLOOKUP($C45&amp;E$14,'Gas Useage'!$C$2:$AB$2&amp;'Gas Useage'!$C$3:$AB$3,'Gas Useage'!$C$4:$AB$15))/_xlfn.XLOOKUP($B45&amp;E$15,'Gas Useage'!$A$4:$A$15&amp;'Gas Useage'!$B$4:$B$15,_xlfn.XLOOKUP(E$14,'Gas Useage'!$AA$3:$AB$3,'Gas Useage'!$AA$4:$AB$15))</f>
        <v>9.4082070629456698E-4</v>
      </c>
      <c r="F45" s="259" cm="1">
        <f t="array" aca="1" ref="F45" ca="1">_xlfn.XLOOKUP(F$13,INDIRECT("'"&amp;$B45&amp;" EI'!$B$6:$B$53"),_xlfn.XLOOKUP($C$10,INDIRECT("'"&amp;$B45&amp;" EI'!$D$4:$Z$4"),INDIRECT("'"&amp;$B45&amp;" EI'!$D$6:$Z$53")))*_xlfn.XLOOKUP($B45&amp;F$15,'Gas Useage'!$A$4:$A$15&amp;'Gas Useage'!$B$4:$B$15,_xlfn.XLOOKUP($C45&amp;F$14,'Gas Useage'!$C$2:$AB$2&amp;'Gas Useage'!$C$3:$AB$3,'Gas Useage'!$C$4:$AB$15))/_xlfn.XLOOKUP($B45&amp;F$15,'Gas Useage'!$A$4:$A$15&amp;'Gas Useage'!$B$4:$B$15,_xlfn.XLOOKUP(F$14,'Gas Useage'!$AA$3:$AB$3,'Gas Useage'!$AA$4:$AB$15))</f>
        <v>1.4548819383433697E-3</v>
      </c>
      <c r="G45" s="259" cm="1">
        <f t="array" aca="1" ref="G45" ca="1">_xlfn.XLOOKUP(G$13,INDIRECT("'"&amp;$B45&amp;" EI'!$B$6:$B$53"),_xlfn.XLOOKUP($C$10,INDIRECT("'"&amp;$B45&amp;" EI'!$D$4:$Z$4"),INDIRECT("'"&amp;$B45&amp;" EI'!$D$6:$Z$53")))*_xlfn.XLOOKUP($B45&amp;G$15,'Gas Useage'!$A$4:$A$15&amp;'Gas Useage'!$B$4:$B$15,_xlfn.XLOOKUP($C45&amp;G$14,'Gas Useage'!$C$2:$AB$2&amp;'Gas Useage'!$C$3:$AB$3,'Gas Useage'!$C$4:$AB$15))/_xlfn.XLOOKUP($B45&amp;G$15,'Gas Useage'!$A$4:$A$15&amp;'Gas Useage'!$B$4:$B$15,_xlfn.XLOOKUP(G$14,'Gas Useage'!$AA$3:$AB$3,'Gas Useage'!$AA$4:$AB$15))</f>
        <v>6.5069146026107546E-4</v>
      </c>
      <c r="H45" s="260" t="s">
        <v>278</v>
      </c>
      <c r="I45" s="260" t="s">
        <v>278</v>
      </c>
      <c r="J45" s="260" t="s">
        <v>278</v>
      </c>
      <c r="K45" s="261" t="s">
        <v>278</v>
      </c>
      <c r="N45" s="258"/>
    </row>
    <row r="46" spans="2:14" ht="13.5" x14ac:dyDescent="0.25">
      <c r="B46" s="32">
        <v>2022</v>
      </c>
      <c r="C46" s="494" t="s">
        <v>284</v>
      </c>
      <c r="D46" s="259" cm="1">
        <f t="array" aca="1" ref="D46" ca="1">_xlfn.XLOOKUP(D$13,INDIRECT("'"&amp;$B46&amp;" EI'!$B$6:$B$53"),_xlfn.XLOOKUP($C$10,INDIRECT("'"&amp;$B46&amp;" EI'!$D$4:$Z$4"),INDIRECT("'"&amp;$B46&amp;" EI'!$D$6:$Z$53")))*_xlfn.XLOOKUP($B46&amp;D$15,'Gas Useage'!$A$4:$A$15&amp;'Gas Useage'!$B$4:$B$15,_xlfn.XLOOKUP($C46&amp;D$14,'Gas Useage'!$C$2:$AB$2&amp;'Gas Useage'!$C$3:$AB$3,'Gas Useage'!$C$4:$AB$15))/_xlfn.XLOOKUP($B46&amp;D$15,'Gas Useage'!$A$4:$A$15&amp;'Gas Useage'!$B$4:$B$15,_xlfn.XLOOKUP(D$14,'Gas Useage'!$AA$3:$AB$3,'Gas Useage'!$AA$4:$AB$15))</f>
        <v>6.0951487774834863E-3</v>
      </c>
      <c r="E46" s="259" cm="1">
        <f t="array" aca="1" ref="E46" ca="1">_xlfn.XLOOKUP(E$13,INDIRECT("'"&amp;$B46&amp;" EI'!$B$6:$B$53"),_xlfn.XLOOKUP($C$10,INDIRECT("'"&amp;$B46&amp;" EI'!$D$4:$Z$4"),INDIRECT("'"&amp;$B46&amp;" EI'!$D$6:$Z$53")))*_xlfn.XLOOKUP($B46&amp;E$15,'Gas Useage'!$A$4:$A$15&amp;'Gas Useage'!$B$4:$B$15,_xlfn.XLOOKUP($C46&amp;E$14,'Gas Useage'!$C$2:$AB$2&amp;'Gas Useage'!$C$3:$AB$3,'Gas Useage'!$C$4:$AB$15))/_xlfn.XLOOKUP($B46&amp;E$15,'Gas Useage'!$A$4:$A$15&amp;'Gas Useage'!$B$4:$B$15,_xlfn.XLOOKUP(E$14,'Gas Useage'!$AA$3:$AB$3,'Gas Useage'!$AA$4:$AB$15))</f>
        <v>3.1420929240236176E-3</v>
      </c>
      <c r="F46" s="259" cm="1">
        <f t="array" aca="1" ref="F46" ca="1">_xlfn.XLOOKUP(F$13,INDIRECT("'"&amp;$B46&amp;" EI'!$B$6:$B$53"),_xlfn.XLOOKUP($C$10,INDIRECT("'"&amp;$B46&amp;" EI'!$D$4:$Z$4"),INDIRECT("'"&amp;$B46&amp;" EI'!$D$6:$Z$53")))*_xlfn.XLOOKUP($B46&amp;F$15,'Gas Useage'!$A$4:$A$15&amp;'Gas Useage'!$B$4:$B$15,_xlfn.XLOOKUP($C46&amp;F$14,'Gas Useage'!$C$2:$AB$2&amp;'Gas Useage'!$C$3:$AB$3,'Gas Useage'!$C$4:$AB$15))/_xlfn.XLOOKUP($B46&amp;F$15,'Gas Useage'!$A$4:$A$15&amp;'Gas Useage'!$B$4:$B$15,_xlfn.XLOOKUP(F$14,'Gas Useage'!$AA$3:$AB$3,'Gas Useage'!$AA$4:$AB$15))</f>
        <v>5.7615067084931353E-3</v>
      </c>
      <c r="G46" s="259" cm="1">
        <f t="array" aca="1" ref="G46" ca="1">_xlfn.XLOOKUP(G$13,INDIRECT("'"&amp;$B46&amp;" EI'!$B$6:$B$53"),_xlfn.XLOOKUP($C$10,INDIRECT("'"&amp;$B46&amp;" EI'!$D$4:$Z$4"),INDIRECT("'"&amp;$B46&amp;" EI'!$D$6:$Z$53")))*_xlfn.XLOOKUP($B46&amp;G$15,'Gas Useage'!$A$4:$A$15&amp;'Gas Useage'!$B$4:$B$15,_xlfn.XLOOKUP($C46&amp;G$14,'Gas Useage'!$C$2:$AB$2&amp;'Gas Useage'!$C$3:$AB$3,'Gas Useage'!$C$4:$AB$15))/_xlfn.XLOOKUP($B46&amp;G$15,'Gas Useage'!$A$4:$A$15&amp;'Gas Useage'!$B$4:$B$15,_xlfn.XLOOKUP(G$14,'Gas Useage'!$AA$3:$AB$3,'Gas Useage'!$AA$4:$AB$15))</f>
        <v>2.9700980437667294E-3</v>
      </c>
      <c r="H46" s="260" t="s">
        <v>278</v>
      </c>
      <c r="I46" s="260" t="s">
        <v>278</v>
      </c>
      <c r="J46" s="260" t="s">
        <v>278</v>
      </c>
      <c r="K46" s="261" t="s">
        <v>278</v>
      </c>
      <c r="N46" s="258"/>
    </row>
    <row r="47" spans="2:14" ht="13.5" x14ac:dyDescent="0.25">
      <c r="B47" s="32">
        <v>2022</v>
      </c>
      <c r="C47" s="494" t="s">
        <v>285</v>
      </c>
      <c r="D47" s="259" cm="1">
        <f t="array" aca="1" ref="D47" ca="1">_xlfn.XLOOKUP(D$13,INDIRECT("'"&amp;$B47&amp;" EI'!$B$6:$B$53"),_xlfn.XLOOKUP($C$10,INDIRECT("'"&amp;$B47&amp;" EI'!$D$4:$Z$4"),INDIRECT("'"&amp;$B47&amp;" EI'!$D$6:$Z$53")))*_xlfn.XLOOKUP($B47&amp;D$15,'Gas Useage'!$A$4:$A$15&amp;'Gas Useage'!$B$4:$B$15,_xlfn.XLOOKUP($C47&amp;D$14,'Gas Useage'!$C$2:$AB$2&amp;'Gas Useage'!$C$3:$AB$3,'Gas Useage'!$C$4:$AB$15))/_xlfn.XLOOKUP($B47&amp;D$15,'Gas Useage'!$A$4:$A$15&amp;'Gas Useage'!$B$4:$B$15,_xlfn.XLOOKUP(D$14,'Gas Useage'!$AA$3:$AB$3,'Gas Useage'!$AA$4:$AB$15))</f>
        <v>1.5431909836528935E-2</v>
      </c>
      <c r="E47" s="259" cm="1">
        <f t="array" aca="1" ref="E47" ca="1">_xlfn.XLOOKUP(E$13,INDIRECT("'"&amp;$B47&amp;" EI'!$B$6:$B$53"),_xlfn.XLOOKUP($C$10,INDIRECT("'"&amp;$B47&amp;" EI'!$D$4:$Z$4"),INDIRECT("'"&amp;$B47&amp;" EI'!$D$6:$Z$53")))*_xlfn.XLOOKUP($B47&amp;E$15,'Gas Useage'!$A$4:$A$15&amp;'Gas Useage'!$B$4:$B$15,_xlfn.XLOOKUP($C47&amp;E$14,'Gas Useage'!$C$2:$AB$2&amp;'Gas Useage'!$C$3:$AB$3,'Gas Useage'!$C$4:$AB$15))/_xlfn.XLOOKUP($B47&amp;E$15,'Gas Useage'!$A$4:$A$15&amp;'Gas Useage'!$B$4:$B$15,_xlfn.XLOOKUP(E$14,'Gas Useage'!$AA$3:$AB$3,'Gas Useage'!$AA$4:$AB$15))</f>
        <v>5.6382958567889347E-3</v>
      </c>
      <c r="F47" s="259" cm="1">
        <f t="array" aca="1" ref="F47" ca="1">_xlfn.XLOOKUP(F$13,INDIRECT("'"&amp;$B47&amp;" EI'!$B$6:$B$53"),_xlfn.XLOOKUP($C$10,INDIRECT("'"&amp;$B47&amp;" EI'!$D$4:$Z$4"),INDIRECT("'"&amp;$B47&amp;" EI'!$D$6:$Z$53")))*_xlfn.XLOOKUP($B47&amp;F$15,'Gas Useage'!$A$4:$A$15&amp;'Gas Useage'!$B$4:$B$15,_xlfn.XLOOKUP($C47&amp;F$14,'Gas Useage'!$C$2:$AB$2&amp;'Gas Useage'!$C$3:$AB$3,'Gas Useage'!$C$4:$AB$15))/_xlfn.XLOOKUP($B47&amp;F$15,'Gas Useage'!$A$4:$A$15&amp;'Gas Useage'!$B$4:$B$15,_xlfn.XLOOKUP(F$14,'Gas Useage'!$AA$3:$AB$3,'Gas Useage'!$AA$4:$AB$15))</f>
        <v>1.121143901563143E-2</v>
      </c>
      <c r="G47" s="259" cm="1">
        <f t="array" aca="1" ref="G47" ca="1">_xlfn.XLOOKUP(G$13,INDIRECT("'"&amp;$B47&amp;" EI'!$B$6:$B$53"),_xlfn.XLOOKUP($C$10,INDIRECT("'"&amp;$B47&amp;" EI'!$D$4:$Z$4"),INDIRECT("'"&amp;$B47&amp;" EI'!$D$6:$Z$53")))*_xlfn.XLOOKUP($B47&amp;G$15,'Gas Useage'!$A$4:$A$15&amp;'Gas Useage'!$B$4:$B$15,_xlfn.XLOOKUP($C47&amp;G$14,'Gas Useage'!$C$2:$AB$2&amp;'Gas Useage'!$C$3:$AB$3,'Gas Useage'!$C$4:$AB$15))/_xlfn.XLOOKUP($B47&amp;G$15,'Gas Useage'!$A$4:$A$15&amp;'Gas Useage'!$B$4:$B$15,_xlfn.XLOOKUP(G$14,'Gas Useage'!$AA$3:$AB$3,'Gas Useage'!$AA$4:$AB$15))</f>
        <v>4.0962791268287337E-3</v>
      </c>
      <c r="H47" s="260" t="s">
        <v>278</v>
      </c>
      <c r="I47" s="260" t="s">
        <v>278</v>
      </c>
      <c r="J47" s="260" t="s">
        <v>278</v>
      </c>
      <c r="K47" s="261" t="s">
        <v>278</v>
      </c>
      <c r="N47" s="258"/>
    </row>
    <row r="48" spans="2:14" ht="14.25" thickBot="1" x14ac:dyDescent="0.3">
      <c r="B48" s="33">
        <v>2022</v>
      </c>
      <c r="C48" s="499" t="s">
        <v>286</v>
      </c>
      <c r="D48" s="262" cm="1">
        <f t="array" aca="1" ref="D48" ca="1">_xlfn.XLOOKUP(D$13,INDIRECT("'"&amp;$B48&amp;" EI'!$B$6:$B$53"),_xlfn.XLOOKUP($C$10,INDIRECT("'"&amp;$B48&amp;" EI'!$D$4:$Z$4"),INDIRECT("'"&amp;$B48&amp;" EI'!$D$6:$Z$53")))*_xlfn.XLOOKUP($B48&amp;D$15,'Gas Useage'!$A$4:$A$15&amp;'Gas Useage'!$B$4:$B$15,_xlfn.XLOOKUP($C48&amp;D$14,'Gas Useage'!$C$2:$AB$2&amp;'Gas Useage'!$C$3:$AB$3,'Gas Useage'!$C$4:$AB$15))/_xlfn.XLOOKUP($B48&amp;D$15,'Gas Useage'!$A$4:$A$15&amp;'Gas Useage'!$B$4:$B$15,_xlfn.XLOOKUP(D$14,'Gas Useage'!$AA$3:$AB$3,'Gas Useage'!$AA$4:$AB$15))</f>
        <v>5.2635252539871974E-3</v>
      </c>
      <c r="E48" s="262" cm="1">
        <f t="array" aca="1" ref="E48" ca="1">_xlfn.XLOOKUP(E$13,INDIRECT("'"&amp;$B48&amp;" EI'!$B$6:$B$53"),_xlfn.XLOOKUP($C$10,INDIRECT("'"&amp;$B48&amp;" EI'!$D$4:$Z$4"),INDIRECT("'"&amp;$B48&amp;" EI'!$D$6:$Z$53")))*_xlfn.XLOOKUP($B48&amp;E$15,'Gas Useage'!$A$4:$A$15&amp;'Gas Useage'!$B$4:$B$15,_xlfn.XLOOKUP($C48&amp;E$14,'Gas Useage'!$C$2:$AB$2&amp;'Gas Useage'!$C$3:$AB$3,'Gas Useage'!$C$4:$AB$15))/_xlfn.XLOOKUP($B48&amp;E$15,'Gas Useage'!$A$4:$A$15&amp;'Gas Useage'!$B$4:$B$15,_xlfn.XLOOKUP(E$14,'Gas Useage'!$AA$3:$AB$3,'Gas Useage'!$AA$4:$AB$15))</f>
        <v>2.3994716948923093E-3</v>
      </c>
      <c r="F48" s="262" cm="1">
        <f t="array" aca="1" ref="F48" ca="1">_xlfn.XLOOKUP(F$13,INDIRECT("'"&amp;$B48&amp;" EI'!$B$6:$B$53"),_xlfn.XLOOKUP($C$10,INDIRECT("'"&amp;$B48&amp;" EI'!$D$4:$Z$4"),INDIRECT("'"&amp;$B48&amp;" EI'!$D$6:$Z$53")))*_xlfn.XLOOKUP($B48&amp;F$15,'Gas Useage'!$A$4:$A$15&amp;'Gas Useage'!$B$4:$B$15,_xlfn.XLOOKUP($C48&amp;F$14,'Gas Useage'!$C$2:$AB$2&amp;'Gas Useage'!$C$3:$AB$3,'Gas Useage'!$C$4:$AB$15))/_xlfn.XLOOKUP($B48&amp;F$15,'Gas Useage'!$A$4:$A$15&amp;'Gas Useage'!$B$4:$B$15,_xlfn.XLOOKUP(F$14,'Gas Useage'!$AA$3:$AB$3,'Gas Useage'!$AA$4:$AB$15))</f>
        <v>2.9830969121752023E-3</v>
      </c>
      <c r="G48" s="262" cm="1">
        <f t="array" aca="1" ref="G48" ca="1">_xlfn.XLOOKUP(G$13,INDIRECT("'"&amp;$B48&amp;" EI'!$B$6:$B$53"),_xlfn.XLOOKUP($C$10,INDIRECT("'"&amp;$B48&amp;" EI'!$D$4:$Z$4"),INDIRECT("'"&amp;$B48&amp;" EI'!$D$6:$Z$53")))*_xlfn.XLOOKUP($B48&amp;G$15,'Gas Useage'!$A$4:$A$15&amp;'Gas Useage'!$B$4:$B$15,_xlfn.XLOOKUP($C48&amp;G$14,'Gas Useage'!$C$2:$AB$2&amp;'Gas Useage'!$C$3:$AB$3,'Gas Useage'!$C$4:$AB$15))/_xlfn.XLOOKUP($B48&amp;G$15,'Gas Useage'!$A$4:$A$15&amp;'Gas Useage'!$B$4:$B$15,_xlfn.XLOOKUP(G$14,'Gas Useage'!$AA$3:$AB$3,'Gas Useage'!$AA$4:$AB$15))</f>
        <v>1.3598978362387194E-3</v>
      </c>
      <c r="H48" s="263">
        <f t="shared" ref="H48:K51" ca="1" si="0">IFERROR(SUM(D25:D48)/2,"--")</f>
        <v>0.11062339622672795</v>
      </c>
      <c r="I48" s="263">
        <f t="shared" ca="1" si="0"/>
        <v>3.7544409861462236E-2</v>
      </c>
      <c r="J48" s="263">
        <f t="shared" ca="1" si="0"/>
        <v>0.11192014305487612</v>
      </c>
      <c r="K48" s="264">
        <f t="shared" ca="1" si="0"/>
        <v>3.6825471248423738E-2</v>
      </c>
      <c r="N48" s="258"/>
    </row>
    <row r="49" spans="2:14" ht="13.5" hidden="1" x14ac:dyDescent="0.25">
      <c r="B49" s="495">
        <v>2022</v>
      </c>
      <c r="C49" s="284" t="s">
        <v>287</v>
      </c>
      <c r="D49" s="496" cm="1">
        <f t="array" aca="1" ref="D49" ca="1">_xlfn.XLOOKUP(D$13,INDIRECT("'"&amp;$B49&amp;" EI'!$B$6:$B$53"),_xlfn.XLOOKUP($C$10,INDIRECT("'"&amp;$B49&amp;" EI'!$D$4:$Z$4"),INDIRECT("'"&amp;$B49&amp;" EI'!$D$6:$Z$53")))*_xlfn.XLOOKUP($B49&amp;D$15,'Gas Useage'!$A$4:$A$15&amp;'Gas Useage'!$B$4:$B$15,_xlfn.XLOOKUP($C49&amp;D$14,'Gas Useage'!$C$2:$AB$2&amp;'Gas Useage'!$C$3:$AB$3,'Gas Useage'!$C$4:$AB$15))/_xlfn.XLOOKUP($B49&amp;D$15,'Gas Useage'!$A$4:$A$15&amp;'Gas Useage'!$B$4:$B$15,_xlfn.XLOOKUP(D$14,'Gas Useage'!$AA$3:$AB$3,'Gas Useage'!$AA$4:$AB$15))</f>
        <v>3.7113937434546588E-3</v>
      </c>
      <c r="E49" s="496" cm="1">
        <f t="array" aca="1" ref="E49" ca="1">_xlfn.XLOOKUP(E$13,INDIRECT("'"&amp;$B49&amp;" EI'!$B$6:$B$53"),_xlfn.XLOOKUP($C$10,INDIRECT("'"&amp;$B49&amp;" EI'!$D$4:$Z$4"),INDIRECT("'"&amp;$B49&amp;" EI'!$D$6:$Z$53")))*_xlfn.XLOOKUP($B49&amp;E$15,'Gas Useage'!$A$4:$A$15&amp;'Gas Useage'!$B$4:$B$15,_xlfn.XLOOKUP($C49&amp;E$14,'Gas Useage'!$C$2:$AB$2&amp;'Gas Useage'!$C$3:$AB$3,'Gas Useage'!$C$4:$AB$15))/_xlfn.XLOOKUP($B49&amp;E$15,'Gas Useage'!$A$4:$A$15&amp;'Gas Useage'!$B$4:$B$15,_xlfn.XLOOKUP(E$14,'Gas Useage'!$AA$3:$AB$3,'Gas Useage'!$AA$4:$AB$15))</f>
        <v>2.5481751072826109E-3</v>
      </c>
      <c r="F49" s="496" cm="1">
        <f t="array" aca="1" ref="F49" ca="1">_xlfn.XLOOKUP(F$13,INDIRECT("'"&amp;$B49&amp;" EI'!$B$6:$B$53"),_xlfn.XLOOKUP($C$10,INDIRECT("'"&amp;$B49&amp;" EI'!$D$4:$Z$4"),INDIRECT("'"&amp;$B49&amp;" EI'!$D$6:$Z$53")))*_xlfn.XLOOKUP($B49&amp;F$15,'Gas Useage'!$A$4:$A$15&amp;'Gas Useage'!$B$4:$B$15,_xlfn.XLOOKUP($C49&amp;F$14,'Gas Useage'!$C$2:$AB$2&amp;'Gas Useage'!$C$3:$AB$3,'Gas Useage'!$C$4:$AB$15))/_xlfn.XLOOKUP($B49&amp;F$15,'Gas Useage'!$A$4:$A$15&amp;'Gas Useage'!$B$4:$B$15,_xlfn.XLOOKUP(F$14,'Gas Useage'!$AA$3:$AB$3,'Gas Useage'!$AA$4:$AB$15))</f>
        <v>2.8028130828671805E-3</v>
      </c>
      <c r="G49" s="496" cm="1">
        <f t="array" aca="1" ref="G49" ca="1">_xlfn.XLOOKUP(G$13,INDIRECT("'"&amp;$B49&amp;" EI'!$B$6:$B$53"),_xlfn.XLOOKUP($C$10,INDIRECT("'"&amp;$B49&amp;" EI'!$D$4:$Z$4"),INDIRECT("'"&amp;$B49&amp;" EI'!$D$6:$Z$53")))*_xlfn.XLOOKUP($B49&amp;G$15,'Gas Useage'!$A$4:$A$15&amp;'Gas Useage'!$B$4:$B$15,_xlfn.XLOOKUP($C49&amp;G$14,'Gas Useage'!$C$2:$AB$2&amp;'Gas Useage'!$C$3:$AB$3,'Gas Useage'!$C$4:$AB$15))/_xlfn.XLOOKUP($B49&amp;G$15,'Gas Useage'!$A$4:$A$15&amp;'Gas Useage'!$B$4:$B$15,_xlfn.XLOOKUP(G$14,'Gas Useage'!$AA$3:$AB$3,'Gas Useage'!$AA$4:$AB$15))</f>
        <v>1.9243602327895758E-3</v>
      </c>
      <c r="H49" s="497">
        <f t="shared" ca="1" si="0"/>
        <v>0.11017323268739697</v>
      </c>
      <c r="I49" s="497">
        <f t="shared" ca="1" si="0"/>
        <v>3.8003926923934991E-2</v>
      </c>
      <c r="J49" s="497">
        <f t="shared" ca="1" si="0"/>
        <v>0.10798888352700557</v>
      </c>
      <c r="K49" s="498">
        <f t="shared" ca="1" si="0"/>
        <v>3.5903828563369253E-2</v>
      </c>
      <c r="N49" s="258"/>
    </row>
    <row r="50" spans="2:14" ht="13.5" hidden="1" x14ac:dyDescent="0.25">
      <c r="B50" s="283">
        <v>2022</v>
      </c>
      <c r="C50" s="284" t="s">
        <v>288</v>
      </c>
      <c r="D50" s="290" cm="1">
        <f t="array" aca="1" ref="D50" ca="1">_xlfn.XLOOKUP(D$13,INDIRECT("'"&amp;$B50&amp;" EI'!$B$6:$B$53"),_xlfn.XLOOKUP($C$10,INDIRECT("'"&amp;$B50&amp;" EI'!$D$4:$Z$4"),INDIRECT("'"&amp;$B50&amp;" EI'!$D$6:$Z$53")))*_xlfn.XLOOKUP($B50&amp;D$15,'Gas Useage'!$A$4:$A$15&amp;'Gas Useage'!$B$4:$B$15,_xlfn.XLOOKUP($C50&amp;D$14,'Gas Useage'!$C$2:$AB$2&amp;'Gas Useage'!$C$3:$AB$3,'Gas Useage'!$C$4:$AB$15))/_xlfn.XLOOKUP($B50&amp;D$15,'Gas Useage'!$A$4:$A$15&amp;'Gas Useage'!$B$4:$B$15,_xlfn.XLOOKUP(D$14,'Gas Useage'!$AA$3:$AB$3,'Gas Useage'!$AA$4:$AB$15))</f>
        <v>5.6497728456992513E-6</v>
      </c>
      <c r="E50" s="290" cm="1">
        <f t="array" aca="1" ref="E50" ca="1">_xlfn.XLOOKUP(E$13,INDIRECT("'"&amp;$B50&amp;" EI'!$B$6:$B$53"),_xlfn.XLOOKUP($C$10,INDIRECT("'"&amp;$B50&amp;" EI'!$D$4:$Z$4"),INDIRECT("'"&amp;$B50&amp;" EI'!$D$6:$Z$53")))*_xlfn.XLOOKUP($B50&amp;E$15,'Gas Useage'!$A$4:$A$15&amp;'Gas Useage'!$B$4:$B$15,_xlfn.XLOOKUP($C50&amp;E$14,'Gas Useage'!$C$2:$AB$2&amp;'Gas Useage'!$C$3:$AB$3,'Gas Useage'!$C$4:$AB$15))/_xlfn.XLOOKUP($B50&amp;E$15,'Gas Useage'!$A$4:$A$15&amp;'Gas Useage'!$B$4:$B$15,_xlfn.XLOOKUP(E$14,'Gas Useage'!$AA$3:$AB$3,'Gas Useage'!$AA$4:$AB$15))</f>
        <v>2.7009307529850163E-6</v>
      </c>
      <c r="F50" s="290" cm="1">
        <f t="array" aca="1" ref="F50" ca="1">_xlfn.XLOOKUP(F$13,INDIRECT("'"&amp;$B50&amp;" EI'!$B$6:$B$53"),_xlfn.XLOOKUP($C$10,INDIRECT("'"&amp;$B50&amp;" EI'!$D$4:$Z$4"),INDIRECT("'"&amp;$B50&amp;" EI'!$D$6:$Z$53")))*_xlfn.XLOOKUP($B50&amp;F$15,'Gas Useage'!$A$4:$A$15&amp;'Gas Useage'!$B$4:$B$15,_xlfn.XLOOKUP($C50&amp;F$14,'Gas Useage'!$C$2:$AB$2&amp;'Gas Useage'!$C$3:$AB$3,'Gas Useage'!$C$4:$AB$15))/_xlfn.XLOOKUP($B50&amp;F$15,'Gas Useage'!$A$4:$A$15&amp;'Gas Useage'!$B$4:$B$15,_xlfn.XLOOKUP(F$14,'Gas Useage'!$AA$3:$AB$3,'Gas Useage'!$AA$4:$AB$15))</f>
        <v>4.7546103968016983E-6</v>
      </c>
      <c r="G50" s="290" cm="1">
        <f t="array" aca="1" ref="G50" ca="1">_xlfn.XLOOKUP(G$13,INDIRECT("'"&amp;$B50&amp;" EI'!$B$6:$B$53"),_xlfn.XLOOKUP($C$10,INDIRECT("'"&amp;$B50&amp;" EI'!$D$4:$Z$4"),INDIRECT("'"&amp;$B50&amp;" EI'!$D$6:$Z$53")))*_xlfn.XLOOKUP($B50&amp;G$15,'Gas Useage'!$A$4:$A$15&amp;'Gas Useage'!$B$4:$B$15,_xlfn.XLOOKUP($C50&amp;G$14,'Gas Useage'!$C$2:$AB$2&amp;'Gas Useage'!$C$3:$AB$3,'Gas Useage'!$C$4:$AB$15))/_xlfn.XLOOKUP($B50&amp;G$15,'Gas Useage'!$A$4:$A$15&amp;'Gas Useage'!$B$4:$B$15,_xlfn.XLOOKUP(G$14,'Gas Useage'!$AA$3:$AB$3,'Gas Useage'!$AA$4:$AB$15))</f>
        <v>2.2729893377854209E-6</v>
      </c>
      <c r="H50" s="291">
        <f t="shared" ca="1" si="0"/>
        <v>0.10520415653353302</v>
      </c>
      <c r="I50" s="291">
        <f t="shared" ca="1" si="0"/>
        <v>3.5632455354080127E-2</v>
      </c>
      <c r="J50" s="291">
        <f t="shared" ca="1" si="0"/>
        <v>0.1004652511288265</v>
      </c>
      <c r="K50" s="292">
        <f t="shared" ca="1" si="0"/>
        <v>3.2313203774609833E-2</v>
      </c>
      <c r="N50" s="258"/>
    </row>
    <row r="51" spans="2:14" ht="14.25" hidden="1" thickBot="1" x14ac:dyDescent="0.3">
      <c r="B51" s="285">
        <v>2022</v>
      </c>
      <c r="C51" s="286" t="s">
        <v>289</v>
      </c>
      <c r="D51" s="287" cm="1">
        <f t="array" aca="1" ref="D51" ca="1">_xlfn.XLOOKUP(D$13,INDIRECT("'"&amp;$B51&amp;" EI'!$B$6:$B$53"),_xlfn.XLOOKUP($C$10,INDIRECT("'"&amp;$B51&amp;" EI'!$D$4:$Z$4"),INDIRECT("'"&amp;$B51&amp;" EI'!$D$6:$Z$53")))*_xlfn.XLOOKUP($B51&amp;D$15,'Gas Useage'!$A$4:$A$15&amp;'Gas Useage'!$B$4:$B$15,_xlfn.XLOOKUP($C51&amp;D$14,'Gas Useage'!$C$2:$AB$2&amp;'Gas Useage'!$C$3:$AB$3,'Gas Useage'!$C$4:$AB$15))/_xlfn.XLOOKUP($B51&amp;D$15,'Gas Useage'!$A$4:$A$15&amp;'Gas Useage'!$B$4:$B$15,_xlfn.XLOOKUP(D$14,'Gas Useage'!$AA$3:$AB$3,'Gas Useage'!$AA$4:$AB$15))</f>
        <v>1.8921486821313037E-6</v>
      </c>
      <c r="E51" s="287" cm="1">
        <f t="array" aca="1" ref="E51" ca="1">_xlfn.XLOOKUP(E$13,INDIRECT("'"&amp;$B51&amp;" EI'!$B$6:$B$53"),_xlfn.XLOOKUP($C$10,INDIRECT("'"&amp;$B51&amp;" EI'!$D$4:$Z$4"),INDIRECT("'"&amp;$B51&amp;" EI'!$D$6:$Z$53")))*_xlfn.XLOOKUP($B51&amp;E$15,'Gas Useage'!$A$4:$A$15&amp;'Gas Useage'!$B$4:$B$15,_xlfn.XLOOKUP($C51&amp;E$14,'Gas Useage'!$C$2:$AB$2&amp;'Gas Useage'!$C$3:$AB$3,'Gas Useage'!$C$4:$AB$15))/_xlfn.XLOOKUP($B51&amp;E$15,'Gas Useage'!$A$4:$A$15&amp;'Gas Useage'!$B$4:$B$15,_xlfn.XLOOKUP(E$14,'Gas Useage'!$AA$3:$AB$3,'Gas Useage'!$AA$4:$AB$15))</f>
        <v>9.8633881027570451E-7</v>
      </c>
      <c r="F51" s="287" cm="1">
        <f t="array" aca="1" ref="F51" ca="1">_xlfn.XLOOKUP(F$13,INDIRECT("'"&amp;$B51&amp;" EI'!$B$6:$B$53"),_xlfn.XLOOKUP($C$10,INDIRECT("'"&amp;$B51&amp;" EI'!$D$4:$Z$4"),INDIRECT("'"&amp;$B51&amp;" EI'!$D$6:$Z$53")))*_xlfn.XLOOKUP($B51&amp;F$15,'Gas Useage'!$A$4:$A$15&amp;'Gas Useage'!$B$4:$B$15,_xlfn.XLOOKUP($C51&amp;F$14,'Gas Useage'!$C$2:$AB$2&amp;'Gas Useage'!$C$3:$AB$3,'Gas Useage'!$C$4:$AB$15))/_xlfn.XLOOKUP($B51&amp;F$15,'Gas Useage'!$A$4:$A$15&amp;'Gas Useage'!$B$4:$B$15,_xlfn.XLOOKUP(F$14,'Gas Useage'!$AA$3:$AB$3,'Gas Useage'!$AA$4:$AB$15))</f>
        <v>1.3694631315223474E-6</v>
      </c>
      <c r="G51" s="287" cm="1">
        <f t="array" aca="1" ref="G51" ca="1">_xlfn.XLOOKUP(G$13,INDIRECT("'"&amp;$B51&amp;" EI'!$B$6:$B$53"),_xlfn.XLOOKUP($C$10,INDIRECT("'"&amp;$B51&amp;" EI'!$D$4:$Z$4"),INDIRECT("'"&amp;$B51&amp;" EI'!$D$6:$Z$53")))*_xlfn.XLOOKUP($B51&amp;G$15,'Gas Useage'!$A$4:$A$15&amp;'Gas Useage'!$B$4:$B$15,_xlfn.XLOOKUP($C51&amp;G$14,'Gas Useage'!$C$2:$AB$2&amp;'Gas Useage'!$C$3:$AB$3,'Gas Useage'!$C$4:$AB$15))/_xlfn.XLOOKUP($B51&amp;G$15,'Gas Useage'!$A$4:$A$15&amp;'Gas Useage'!$B$4:$B$15,_xlfn.XLOOKUP(G$14,'Gas Useage'!$AA$3:$AB$3,'Gas Useage'!$AA$4:$AB$15))</f>
        <v>7.1387341207283537E-7</v>
      </c>
      <c r="H51" s="288">
        <f t="shared" ca="1" si="0"/>
        <v>0.10023320156758728</v>
      </c>
      <c r="I51" s="288">
        <f t="shared" ca="1" si="0"/>
        <v>3.3260126488253897E-2</v>
      </c>
      <c r="J51" s="288">
        <f t="shared" ca="1" si="0"/>
        <v>9.2939926157014782E-2</v>
      </c>
      <c r="K51" s="289">
        <f t="shared" ca="1" si="0"/>
        <v>2.8721799427887544E-2</v>
      </c>
      <c r="N51" s="258"/>
    </row>
    <row r="53" spans="2:14" x14ac:dyDescent="0.2">
      <c r="B53" s="265"/>
      <c r="C53" s="265"/>
    </row>
    <row r="54" spans="2:14" x14ac:dyDescent="0.2">
      <c r="B54" s="266"/>
      <c r="C54" s="266"/>
      <c r="D54" s="267"/>
      <c r="E54" s="267"/>
      <c r="F54" s="267"/>
      <c r="G54" s="267"/>
    </row>
    <row r="55" spans="2:14" x14ac:dyDescent="0.2">
      <c r="B55" s="266"/>
      <c r="C55" s="266"/>
      <c r="D55" s="267"/>
      <c r="E55" s="267"/>
      <c r="F55" s="267"/>
      <c r="G55" s="267"/>
    </row>
    <row r="56" spans="2:14" x14ac:dyDescent="0.2">
      <c r="B56" s="266"/>
      <c r="C56" s="266"/>
      <c r="D56" s="267"/>
      <c r="E56" s="267"/>
      <c r="F56" s="267"/>
      <c r="G56" s="267"/>
    </row>
    <row r="57" spans="2:14" x14ac:dyDescent="0.2">
      <c r="B57" s="266"/>
      <c r="C57" s="266"/>
      <c r="D57" s="267"/>
      <c r="E57" s="267"/>
      <c r="F57" s="267"/>
      <c r="G57" s="267"/>
    </row>
    <row r="58" spans="2:14" x14ac:dyDescent="0.2">
      <c r="B58" s="266"/>
      <c r="C58" s="266"/>
      <c r="D58" s="267"/>
      <c r="E58" s="267"/>
      <c r="F58" s="267"/>
      <c r="G58" s="267"/>
      <c r="H58" s="267"/>
      <c r="I58" s="267"/>
      <c r="J58" s="267"/>
      <c r="K58" s="267"/>
    </row>
    <row r="61" spans="2:14" x14ac:dyDescent="0.2">
      <c r="B61" s="265"/>
      <c r="C61" s="265"/>
      <c r="D61" s="268"/>
    </row>
    <row r="62" spans="2:14" x14ac:dyDescent="0.2">
      <c r="B62" s="266"/>
      <c r="C62" s="266"/>
    </row>
    <row r="63" spans="2:14" x14ac:dyDescent="0.2">
      <c r="B63" s="266"/>
      <c r="C63" s="266"/>
    </row>
    <row r="64" spans="2:14" x14ac:dyDescent="0.2">
      <c r="B64" s="266"/>
      <c r="C64" s="266"/>
    </row>
    <row r="65" spans="2:3" x14ac:dyDescent="0.2">
      <c r="B65" s="266"/>
      <c r="C65" s="266"/>
    </row>
    <row r="66" spans="2:3" x14ac:dyDescent="0.2">
      <c r="B66" s="266"/>
      <c r="C66" s="266"/>
    </row>
    <row r="68" spans="2:3" x14ac:dyDescent="0.2">
      <c r="B68" s="266"/>
      <c r="C68" s="266"/>
    </row>
    <row r="70" spans="2:3" x14ac:dyDescent="0.2">
      <c r="B70" s="265"/>
      <c r="C70" s="265"/>
    </row>
  </sheetData>
  <mergeCells count="2">
    <mergeCell ref="D12:G12"/>
    <mergeCell ref="H12:K12"/>
  </mergeCells>
  <pageMargins left="0.7" right="0.7" top="0.75" bottom="0.75" header="0.3" footer="0.3"/>
  <pageSetup scale="66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D37E5-1AAB-4636-8A97-991570F1B34F}">
  <sheetPr>
    <tabColor theme="1"/>
  </sheetPr>
  <dimension ref="B1:U70"/>
  <sheetViews>
    <sheetView view="pageBreakPreview" zoomScale="60" zoomScaleNormal="100" workbookViewId="0">
      <selection activeCell="J40" sqref="J40:J41"/>
    </sheetView>
  </sheetViews>
  <sheetFormatPr defaultColWidth="9.140625" defaultRowHeight="12.75" x14ac:dyDescent="0.2"/>
  <cols>
    <col min="1" max="1" width="4.28515625" style="252" customWidth="1"/>
    <col min="2" max="2" width="12" style="252" customWidth="1"/>
    <col min="3" max="3" width="18.85546875" style="252" customWidth="1"/>
    <col min="4" max="7" width="8.85546875" style="252" bestFit="1" customWidth="1"/>
    <col min="8" max="13" width="9.140625" style="252"/>
    <col min="14" max="14" width="11.140625" style="252" bestFit="1" customWidth="1"/>
    <col min="15" max="15" width="17.28515625" style="252" customWidth="1"/>
    <col min="16" max="16" width="15.42578125" style="252" customWidth="1"/>
    <col min="17" max="16384" width="9.140625" style="252"/>
  </cols>
  <sheetData>
    <row r="1" spans="2:21" s="18" customFormat="1" x14ac:dyDescent="0.2">
      <c r="B1" s="28"/>
      <c r="C1" s="28"/>
      <c r="F1" s="19"/>
      <c r="G1" s="19"/>
    </row>
    <row r="2" spans="2:21" s="18" customFormat="1" x14ac:dyDescent="0.2">
      <c r="B2" s="28"/>
      <c r="C2" s="28"/>
      <c r="F2" s="19"/>
      <c r="G2" s="19"/>
    </row>
    <row r="3" spans="2:21" x14ac:dyDescent="0.2">
      <c r="B3" s="20"/>
      <c r="C3" s="20"/>
    </row>
    <row r="4" spans="2:21" x14ac:dyDescent="0.2">
      <c r="B4" s="24" t="s">
        <v>0</v>
      </c>
      <c r="C4" s="25" t="s">
        <v>261</v>
      </c>
    </row>
    <row r="5" spans="2:21" x14ac:dyDescent="0.2">
      <c r="B5" s="24" t="s">
        <v>79</v>
      </c>
      <c r="C5" s="25" t="s">
        <v>4</v>
      </c>
    </row>
    <row r="6" spans="2:21" x14ac:dyDescent="0.2">
      <c r="B6" s="24" t="s">
        <v>80</v>
      </c>
      <c r="C6" s="25" t="s">
        <v>262</v>
      </c>
    </row>
    <row r="7" spans="2:21" x14ac:dyDescent="0.2">
      <c r="B7" s="20"/>
      <c r="C7" s="20"/>
    </row>
    <row r="8" spans="2:21" x14ac:dyDescent="0.2">
      <c r="B8" s="26"/>
      <c r="C8" s="26"/>
    </row>
    <row r="9" spans="2:21" x14ac:dyDescent="0.2">
      <c r="B9" s="26"/>
      <c r="C9" s="26"/>
    </row>
    <row r="10" spans="2:21" x14ac:dyDescent="0.2">
      <c r="B10" s="27" t="s">
        <v>263</v>
      </c>
      <c r="C10" s="35" t="s">
        <v>183</v>
      </c>
    </row>
    <row r="11" spans="2:21" s="253" customFormat="1" ht="15" customHeight="1" thickBot="1" x14ac:dyDescent="0.25">
      <c r="O11" s="252"/>
      <c r="P11" s="252"/>
      <c r="Q11" s="252"/>
      <c r="R11" s="252"/>
      <c r="S11" s="252"/>
      <c r="T11" s="252"/>
      <c r="U11" s="252"/>
    </row>
    <row r="12" spans="2:21" ht="16.5" customHeight="1" thickBot="1" x14ac:dyDescent="0.25">
      <c r="B12" s="30"/>
      <c r="C12" s="30"/>
      <c r="D12" s="552" t="s">
        <v>265</v>
      </c>
      <c r="E12" s="553"/>
      <c r="F12" s="553"/>
      <c r="G12" s="554"/>
      <c r="H12" s="552" t="s">
        <v>266</v>
      </c>
      <c r="I12" s="553"/>
      <c r="J12" s="553"/>
      <c r="K12" s="554"/>
      <c r="L12" s="254"/>
    </row>
    <row r="13" spans="2:21" ht="27.75" thickBot="1" x14ac:dyDescent="0.25">
      <c r="B13" s="29" t="s">
        <v>267</v>
      </c>
      <c r="C13" s="29" t="s">
        <v>268</v>
      </c>
      <c r="D13" s="531" t="s">
        <v>269</v>
      </c>
      <c r="E13" s="532" t="s">
        <v>270</v>
      </c>
      <c r="F13" s="532" t="s">
        <v>271</v>
      </c>
      <c r="G13" s="533" t="s">
        <v>272</v>
      </c>
      <c r="H13" s="531" t="s">
        <v>269</v>
      </c>
      <c r="I13" s="532" t="s">
        <v>270</v>
      </c>
      <c r="J13" s="532" t="s">
        <v>271</v>
      </c>
      <c r="K13" s="533" t="s">
        <v>272</v>
      </c>
    </row>
    <row r="14" spans="2:21" ht="27.75" thickBot="1" x14ac:dyDescent="0.25">
      <c r="B14" s="199"/>
      <c r="C14" s="199"/>
      <c r="D14" s="531" t="s">
        <v>273</v>
      </c>
      <c r="E14" s="532" t="s">
        <v>274</v>
      </c>
      <c r="F14" s="532" t="s">
        <v>273</v>
      </c>
      <c r="G14" s="533" t="s">
        <v>274</v>
      </c>
      <c r="H14" s="531"/>
      <c r="I14" s="532"/>
      <c r="J14" s="532"/>
      <c r="K14" s="533"/>
    </row>
    <row r="15" spans="2:21" ht="14.25" thickBot="1" x14ac:dyDescent="0.25">
      <c r="B15" s="199"/>
      <c r="C15" s="199"/>
      <c r="D15" s="534" t="s">
        <v>275</v>
      </c>
      <c r="E15" s="535" t="s">
        <v>275</v>
      </c>
      <c r="F15" s="535" t="s">
        <v>276</v>
      </c>
      <c r="G15" s="536" t="s">
        <v>276</v>
      </c>
      <c r="H15" s="534"/>
      <c r="I15" s="535"/>
      <c r="J15" s="535"/>
      <c r="K15" s="536"/>
    </row>
    <row r="16" spans="2:21" ht="13.5" hidden="1" x14ac:dyDescent="0.25">
      <c r="B16" s="31">
        <v>2020</v>
      </c>
      <c r="C16" s="197" t="s">
        <v>277</v>
      </c>
      <c r="D16" s="255" cm="1">
        <f t="array" aca="1" ref="D16" ca="1">_xlfn.XLOOKUP(D$13,INDIRECT("'"&amp;$B16&amp;" EI'!$B$6:$B$53"),_xlfn.XLOOKUP($C$10,INDIRECT("'"&amp;$B16&amp;" EI'!$D$4:$Z$4"),INDIRECT("'"&amp;$B16&amp;" EI'!$D$6:$Z$53")))*_xlfn.XLOOKUP($B16&amp;D$15,'Gas Useage'!$A$4:$A$15&amp;'Gas Useage'!$B$4:$B$15,_xlfn.XLOOKUP($C16&amp;D$14,'Gas Useage'!$C$2:$AB$2&amp;'Gas Useage'!$C$3:$AB$3,'Gas Useage'!$C$4:$AB$15))/_xlfn.XLOOKUP($B16&amp;D$15,'Gas Useage'!$A$4:$A$15&amp;'Gas Useage'!$B$4:$B$15,_xlfn.XLOOKUP(D$14,'Gas Useage'!$AA$3:$AB$3,'Gas Useage'!$AA$4:$AB$15))</f>
        <v>1.1225192219599691E-3</v>
      </c>
      <c r="E16" s="255" cm="1">
        <f t="array" aca="1" ref="E16" ca="1">_xlfn.XLOOKUP(E$13,INDIRECT("'"&amp;$B16&amp;" EI'!$B$6:$B$53"),_xlfn.XLOOKUP($C$10,INDIRECT("'"&amp;$B16&amp;" EI'!$D$4:$Z$4"),INDIRECT("'"&amp;$B16&amp;" EI'!$D$6:$Z$53")))*_xlfn.XLOOKUP($B16&amp;E$15,'Gas Useage'!$A$4:$A$15&amp;'Gas Useage'!$B$4:$B$15,_xlfn.XLOOKUP($C16&amp;E$14,'Gas Useage'!$C$2:$AB$2&amp;'Gas Useage'!$C$3:$AB$3,'Gas Useage'!$C$4:$AB$15))/_xlfn.XLOOKUP($B16&amp;E$15,'Gas Useage'!$A$4:$A$15&amp;'Gas Useage'!$B$4:$B$15,_xlfn.XLOOKUP(E$14,'Gas Useage'!$AA$3:$AB$3,'Gas Useage'!$AA$4:$AB$15))</f>
        <v>1.6582004653628492E-3</v>
      </c>
      <c r="F16" s="255" cm="1">
        <f t="array" aca="1" ref="F16" ca="1">_xlfn.XLOOKUP(F$13,INDIRECT("'"&amp;$B16&amp;" EI'!$B$6:$B$53"),_xlfn.XLOOKUP($C$10,INDIRECT("'"&amp;$B16&amp;" EI'!$D$4:$Z$4"),INDIRECT("'"&amp;$B16&amp;" EI'!$D$6:$Z$53")))*_xlfn.XLOOKUP($B16&amp;F$15,'Gas Useage'!$A$4:$A$15&amp;'Gas Useage'!$B$4:$B$15,_xlfn.XLOOKUP($C16&amp;F$14,'Gas Useage'!$C$2:$AB$2&amp;'Gas Useage'!$C$3:$AB$3,'Gas Useage'!$C$4:$AB$15))/_xlfn.XLOOKUP($B16&amp;F$15,'Gas Useage'!$A$4:$A$15&amp;'Gas Useage'!$B$4:$B$15,_xlfn.XLOOKUP(F$14,'Gas Useage'!$AA$3:$AB$3,'Gas Useage'!$AA$4:$AB$15))</f>
        <v>1.4695422060354642E-3</v>
      </c>
      <c r="G16" s="255" cm="1">
        <f t="array" aca="1" ref="G16" ca="1">_xlfn.XLOOKUP(G$13,INDIRECT("'"&amp;$B16&amp;" EI'!$B$6:$B$53"),_xlfn.XLOOKUP($C$10,INDIRECT("'"&amp;$B16&amp;" EI'!$D$4:$Z$4"),INDIRECT("'"&amp;$B16&amp;" EI'!$D$6:$Z$53")))*_xlfn.XLOOKUP($B16&amp;G$15,'Gas Useage'!$A$4:$A$15&amp;'Gas Useage'!$B$4:$B$15,_xlfn.XLOOKUP($C16&amp;G$14,'Gas Useage'!$C$2:$AB$2&amp;'Gas Useage'!$C$3:$AB$3,'Gas Useage'!$C$4:$AB$15))/_xlfn.XLOOKUP($B16&amp;G$15,'Gas Useage'!$A$4:$A$15&amp;'Gas Useage'!$B$4:$B$15,_xlfn.XLOOKUP(G$14,'Gas Useage'!$AA$3:$AB$3,'Gas Useage'!$AA$4:$AB$15))</f>
        <v>2.1708274764895346E-3</v>
      </c>
      <c r="H16" s="256" t="s">
        <v>278</v>
      </c>
      <c r="I16" s="256" t="s">
        <v>278</v>
      </c>
      <c r="J16" s="256" t="s">
        <v>278</v>
      </c>
      <c r="K16" s="257" t="s">
        <v>278</v>
      </c>
      <c r="N16" s="258"/>
    </row>
    <row r="17" spans="2:14" ht="13.5" hidden="1" x14ac:dyDescent="0.25">
      <c r="B17" s="32">
        <v>2020</v>
      </c>
      <c r="C17" s="198" t="s">
        <v>279</v>
      </c>
      <c r="D17" s="259" cm="1">
        <f t="array" aca="1" ref="D17" ca="1">_xlfn.XLOOKUP(D$13,INDIRECT("'"&amp;$B17&amp;" EI'!$B$6:$B$53"),_xlfn.XLOOKUP($C$10,INDIRECT("'"&amp;$B17&amp;" EI'!$D$4:$Z$4"),INDIRECT("'"&amp;$B17&amp;" EI'!$D$6:$Z$53")))*_xlfn.XLOOKUP($B17&amp;D$15,'Gas Useage'!$A$4:$A$15&amp;'Gas Useage'!$B$4:$B$15,_xlfn.XLOOKUP($C17&amp;D$14,'Gas Useage'!$C$2:$AB$2&amp;'Gas Useage'!$C$3:$AB$3,'Gas Useage'!$C$4:$AB$15))/_xlfn.XLOOKUP($B17&amp;D$15,'Gas Useage'!$A$4:$A$15&amp;'Gas Useage'!$B$4:$B$15,_xlfn.XLOOKUP(D$14,'Gas Useage'!$AA$3:$AB$3,'Gas Useage'!$AA$4:$AB$15))</f>
        <v>1.8609000760033861E-3</v>
      </c>
      <c r="E17" s="259" cm="1">
        <f t="array" aca="1" ref="E17" ca="1">_xlfn.XLOOKUP(E$13,INDIRECT("'"&amp;$B17&amp;" EI'!$B$6:$B$53"),_xlfn.XLOOKUP($C$10,INDIRECT("'"&amp;$B17&amp;" EI'!$D$4:$Z$4"),INDIRECT("'"&amp;$B17&amp;" EI'!$D$6:$Z$53")))*_xlfn.XLOOKUP($B17&amp;E$15,'Gas Useage'!$A$4:$A$15&amp;'Gas Useage'!$B$4:$B$15,_xlfn.XLOOKUP($C17&amp;E$14,'Gas Useage'!$C$2:$AB$2&amp;'Gas Useage'!$C$3:$AB$3,'Gas Useage'!$C$4:$AB$15))/_xlfn.XLOOKUP($B17&amp;E$15,'Gas Useage'!$A$4:$A$15&amp;'Gas Useage'!$B$4:$B$15,_xlfn.XLOOKUP(E$14,'Gas Useage'!$AA$3:$AB$3,'Gas Useage'!$AA$4:$AB$15))</f>
        <v>3.4411087880741103E-3</v>
      </c>
      <c r="F17" s="259" cm="1">
        <f t="array" aca="1" ref="F17" ca="1">_xlfn.XLOOKUP(F$13,INDIRECT("'"&amp;$B17&amp;" EI'!$B$6:$B$53"),_xlfn.XLOOKUP($C$10,INDIRECT("'"&amp;$B17&amp;" EI'!$D$4:$Z$4"),INDIRECT("'"&amp;$B17&amp;" EI'!$D$6:$Z$53")))*_xlfn.XLOOKUP($B17&amp;F$15,'Gas Useage'!$A$4:$A$15&amp;'Gas Useage'!$B$4:$B$15,_xlfn.XLOOKUP($C17&amp;F$14,'Gas Useage'!$C$2:$AB$2&amp;'Gas Useage'!$C$3:$AB$3,'Gas Useage'!$C$4:$AB$15))/_xlfn.XLOOKUP($B17&amp;F$15,'Gas Useage'!$A$4:$A$15&amp;'Gas Useage'!$B$4:$B$15,_xlfn.XLOOKUP(F$14,'Gas Useage'!$AA$3:$AB$3,'Gas Useage'!$AA$4:$AB$15))</f>
        <v>1.5177475400674175E-3</v>
      </c>
      <c r="G17" s="259" cm="1">
        <f t="array" aca="1" ref="G17" ca="1">_xlfn.XLOOKUP(G$13,INDIRECT("'"&amp;$B17&amp;" EI'!$B$6:$B$53"),_xlfn.XLOOKUP($C$10,INDIRECT("'"&amp;$B17&amp;" EI'!$D$4:$Z$4"),INDIRECT("'"&amp;$B17&amp;" EI'!$D$6:$Z$53")))*_xlfn.XLOOKUP($B17&amp;G$15,'Gas Useage'!$A$4:$A$15&amp;'Gas Useage'!$B$4:$B$15,_xlfn.XLOOKUP($C17&amp;G$14,'Gas Useage'!$C$2:$AB$2&amp;'Gas Useage'!$C$3:$AB$3,'Gas Useage'!$C$4:$AB$15))/_xlfn.XLOOKUP($B17&amp;G$15,'Gas Useage'!$A$4:$A$15&amp;'Gas Useage'!$B$4:$B$15,_xlfn.XLOOKUP(G$14,'Gas Useage'!$AA$3:$AB$3,'Gas Useage'!$AA$4:$AB$15))</f>
        <v>2.8065635901421454E-3</v>
      </c>
      <c r="H17" s="260" t="s">
        <v>278</v>
      </c>
      <c r="I17" s="260" t="s">
        <v>278</v>
      </c>
      <c r="J17" s="260" t="s">
        <v>278</v>
      </c>
      <c r="K17" s="261" t="s">
        <v>278</v>
      </c>
      <c r="N17" s="258"/>
    </row>
    <row r="18" spans="2:14" ht="13.5" hidden="1" x14ac:dyDescent="0.25">
      <c r="B18" s="32">
        <v>2020</v>
      </c>
      <c r="C18" s="198" t="s">
        <v>280</v>
      </c>
      <c r="D18" s="259" cm="1">
        <f t="array" aca="1" ref="D18" ca="1">_xlfn.XLOOKUP(D$13,INDIRECT("'"&amp;$B18&amp;" EI'!$B$6:$B$53"),_xlfn.XLOOKUP($C$10,INDIRECT("'"&amp;$B18&amp;" EI'!$D$4:$Z$4"),INDIRECT("'"&amp;$B18&amp;" EI'!$D$6:$Z$53")))*_xlfn.XLOOKUP($B18&amp;D$15,'Gas Useage'!$A$4:$A$15&amp;'Gas Useage'!$B$4:$B$15,_xlfn.XLOOKUP($C18&amp;D$14,'Gas Useage'!$C$2:$AB$2&amp;'Gas Useage'!$C$3:$AB$3,'Gas Useage'!$C$4:$AB$15))/_xlfn.XLOOKUP($B18&amp;D$15,'Gas Useage'!$A$4:$A$15&amp;'Gas Useage'!$B$4:$B$15,_xlfn.XLOOKUP(D$14,'Gas Useage'!$AA$3:$AB$3,'Gas Useage'!$AA$4:$AB$15))</f>
        <v>1.8994070077615992E-3</v>
      </c>
      <c r="E18" s="259" cm="1">
        <f t="array" aca="1" ref="E18" ca="1">_xlfn.XLOOKUP(E$13,INDIRECT("'"&amp;$B18&amp;" EI'!$B$6:$B$53"),_xlfn.XLOOKUP($C$10,INDIRECT("'"&amp;$B18&amp;" EI'!$D$4:$Z$4"),INDIRECT("'"&amp;$B18&amp;" EI'!$D$6:$Z$53")))*_xlfn.XLOOKUP($B18&amp;E$15,'Gas Useage'!$A$4:$A$15&amp;'Gas Useage'!$B$4:$B$15,_xlfn.XLOOKUP($C18&amp;E$14,'Gas Useage'!$C$2:$AB$2&amp;'Gas Useage'!$C$3:$AB$3,'Gas Useage'!$C$4:$AB$15))/_xlfn.XLOOKUP($B18&amp;E$15,'Gas Useage'!$A$4:$A$15&amp;'Gas Useage'!$B$4:$B$15,_xlfn.XLOOKUP(E$14,'Gas Useage'!$AA$3:$AB$3,'Gas Useage'!$AA$4:$AB$15))</f>
        <v>3.6683928469106127E-3</v>
      </c>
      <c r="F18" s="259" cm="1">
        <f t="array" aca="1" ref="F18" ca="1">_xlfn.XLOOKUP(F$13,INDIRECT("'"&amp;$B18&amp;" EI'!$B$6:$B$53"),_xlfn.XLOOKUP($C$10,INDIRECT("'"&amp;$B18&amp;" EI'!$D$4:$Z$4"),INDIRECT("'"&amp;$B18&amp;" EI'!$D$6:$Z$53")))*_xlfn.XLOOKUP($B18&amp;F$15,'Gas Useage'!$A$4:$A$15&amp;'Gas Useage'!$B$4:$B$15,_xlfn.XLOOKUP($C18&amp;F$14,'Gas Useage'!$C$2:$AB$2&amp;'Gas Useage'!$C$3:$AB$3,'Gas Useage'!$C$4:$AB$15))/_xlfn.XLOOKUP($B18&amp;F$15,'Gas Useage'!$A$4:$A$15&amp;'Gas Useage'!$B$4:$B$15,_xlfn.XLOOKUP(F$14,'Gas Useage'!$AA$3:$AB$3,'Gas Useage'!$AA$4:$AB$15))</f>
        <v>1.1806670409105369E-3</v>
      </c>
      <c r="G18" s="259" cm="1">
        <f t="array" aca="1" ref="G18" ca="1">_xlfn.XLOOKUP(G$13,INDIRECT("'"&amp;$B18&amp;" EI'!$B$6:$B$53"),_xlfn.XLOOKUP($C$10,INDIRECT("'"&amp;$B18&amp;" EI'!$D$4:$Z$4"),INDIRECT("'"&amp;$B18&amp;" EI'!$D$6:$Z$53")))*_xlfn.XLOOKUP($B18&amp;G$15,'Gas Useage'!$A$4:$A$15&amp;'Gas Useage'!$B$4:$B$15,_xlfn.XLOOKUP($C18&amp;G$14,'Gas Useage'!$C$2:$AB$2&amp;'Gas Useage'!$C$3:$AB$3,'Gas Useage'!$C$4:$AB$15))/_xlfn.XLOOKUP($B18&amp;G$15,'Gas Useage'!$A$4:$A$15&amp;'Gas Useage'!$B$4:$B$15,_xlfn.XLOOKUP(G$14,'Gas Useage'!$AA$3:$AB$3,'Gas Useage'!$AA$4:$AB$15))</f>
        <v>2.280264582451699E-3</v>
      </c>
      <c r="H18" s="260" t="s">
        <v>278</v>
      </c>
      <c r="I18" s="260" t="s">
        <v>278</v>
      </c>
      <c r="J18" s="260" t="s">
        <v>278</v>
      </c>
      <c r="K18" s="261" t="s">
        <v>278</v>
      </c>
      <c r="N18" s="258"/>
    </row>
    <row r="19" spans="2:14" ht="13.5" hidden="1" x14ac:dyDescent="0.25">
      <c r="B19" s="32">
        <v>2020</v>
      </c>
      <c r="C19" s="198" t="s">
        <v>281</v>
      </c>
      <c r="D19" s="259" cm="1">
        <f t="array" aca="1" ref="D19" ca="1">_xlfn.XLOOKUP(D$13,INDIRECT("'"&amp;$B19&amp;" EI'!$B$6:$B$53"),_xlfn.XLOOKUP($C$10,INDIRECT("'"&amp;$B19&amp;" EI'!$D$4:$Z$4"),INDIRECT("'"&amp;$B19&amp;" EI'!$D$6:$Z$53")))*_xlfn.XLOOKUP($B19&amp;D$15,'Gas Useage'!$A$4:$A$15&amp;'Gas Useage'!$B$4:$B$15,_xlfn.XLOOKUP($C19&amp;D$14,'Gas Useage'!$C$2:$AB$2&amp;'Gas Useage'!$C$3:$AB$3,'Gas Useage'!$C$4:$AB$15))/_xlfn.XLOOKUP($B19&amp;D$15,'Gas Useage'!$A$4:$A$15&amp;'Gas Useage'!$B$4:$B$15,_xlfn.XLOOKUP(D$14,'Gas Useage'!$AA$3:$AB$3,'Gas Useage'!$AA$4:$AB$15))</f>
        <v>7.3601723730742084E-4</v>
      </c>
      <c r="E19" s="259" cm="1">
        <f t="array" aca="1" ref="E19" ca="1">_xlfn.XLOOKUP(E$13,INDIRECT("'"&amp;$B19&amp;" EI'!$B$6:$B$53"),_xlfn.XLOOKUP($C$10,INDIRECT("'"&amp;$B19&amp;" EI'!$D$4:$Z$4"),INDIRECT("'"&amp;$B19&amp;" EI'!$D$6:$Z$53")))*_xlfn.XLOOKUP($B19&amp;E$15,'Gas Useage'!$A$4:$A$15&amp;'Gas Useage'!$B$4:$B$15,_xlfn.XLOOKUP($C19&amp;E$14,'Gas Useage'!$C$2:$AB$2&amp;'Gas Useage'!$C$3:$AB$3,'Gas Useage'!$C$4:$AB$15))/_xlfn.XLOOKUP($B19&amp;E$15,'Gas Useage'!$A$4:$A$15&amp;'Gas Useage'!$B$4:$B$15,_xlfn.XLOOKUP(E$14,'Gas Useage'!$AA$3:$AB$3,'Gas Useage'!$AA$4:$AB$15))</f>
        <v>1.454704406079715E-3</v>
      </c>
      <c r="F19" s="259" cm="1">
        <f t="array" aca="1" ref="F19" ca="1">_xlfn.XLOOKUP(F$13,INDIRECT("'"&amp;$B19&amp;" EI'!$B$6:$B$53"),_xlfn.XLOOKUP($C$10,INDIRECT("'"&amp;$B19&amp;" EI'!$D$4:$Z$4"),INDIRECT("'"&amp;$B19&amp;" EI'!$D$6:$Z$53")))*_xlfn.XLOOKUP($B19&amp;F$15,'Gas Useage'!$A$4:$A$15&amp;'Gas Useage'!$B$4:$B$15,_xlfn.XLOOKUP($C19&amp;F$14,'Gas Useage'!$C$2:$AB$2&amp;'Gas Useage'!$C$3:$AB$3,'Gas Useage'!$C$4:$AB$15))/_xlfn.XLOOKUP($B19&amp;F$15,'Gas Useage'!$A$4:$A$15&amp;'Gas Useage'!$B$4:$B$15,_xlfn.XLOOKUP(F$14,'Gas Useage'!$AA$3:$AB$3,'Gas Useage'!$AA$4:$AB$15))</f>
        <v>7.3847636606554751E-4</v>
      </c>
      <c r="G19" s="259" cm="1">
        <f t="array" aca="1" ref="G19" ca="1">_xlfn.XLOOKUP(G$13,INDIRECT("'"&amp;$B19&amp;" EI'!$B$6:$B$53"),_xlfn.XLOOKUP($C$10,INDIRECT("'"&amp;$B19&amp;" EI'!$D$4:$Z$4"),INDIRECT("'"&amp;$B19&amp;" EI'!$D$6:$Z$53")))*_xlfn.XLOOKUP($B19&amp;G$15,'Gas Useage'!$A$4:$A$15&amp;'Gas Useage'!$B$4:$B$15,_xlfn.XLOOKUP($C19&amp;G$14,'Gas Useage'!$C$2:$AB$2&amp;'Gas Useage'!$C$3:$AB$3,'Gas Useage'!$C$4:$AB$15))/_xlfn.XLOOKUP($B19&amp;G$15,'Gas Useage'!$A$4:$A$15&amp;'Gas Useage'!$B$4:$B$15,_xlfn.XLOOKUP(G$14,'Gas Useage'!$AA$3:$AB$3,'Gas Useage'!$AA$4:$AB$15))</f>
        <v>1.459564761596185E-3</v>
      </c>
      <c r="H19" s="260" t="s">
        <v>278</v>
      </c>
      <c r="I19" s="260" t="s">
        <v>278</v>
      </c>
      <c r="J19" s="260" t="s">
        <v>278</v>
      </c>
      <c r="K19" s="261" t="s">
        <v>278</v>
      </c>
      <c r="N19" s="258"/>
    </row>
    <row r="20" spans="2:14" ht="13.5" hidden="1" x14ac:dyDescent="0.25">
      <c r="B20" s="32">
        <v>2020</v>
      </c>
      <c r="C20" s="198" t="s">
        <v>282</v>
      </c>
      <c r="D20" s="259" cm="1">
        <f t="array" aca="1" ref="D20" ca="1">_xlfn.XLOOKUP(D$13,INDIRECT("'"&amp;$B20&amp;" EI'!$B$6:$B$53"),_xlfn.XLOOKUP($C$10,INDIRECT("'"&amp;$B20&amp;" EI'!$D$4:$Z$4"),INDIRECT("'"&amp;$B20&amp;" EI'!$D$6:$Z$53")))*_xlfn.XLOOKUP($B20&amp;D$15,'Gas Useage'!$A$4:$A$15&amp;'Gas Useage'!$B$4:$B$15,_xlfn.XLOOKUP($C20&amp;D$14,'Gas Useage'!$C$2:$AB$2&amp;'Gas Useage'!$C$3:$AB$3,'Gas Useage'!$C$4:$AB$15))/_xlfn.XLOOKUP($B20&amp;D$15,'Gas Useage'!$A$4:$A$15&amp;'Gas Useage'!$B$4:$B$15,_xlfn.XLOOKUP(D$14,'Gas Useage'!$AA$3:$AB$3,'Gas Useage'!$AA$4:$AB$15))</f>
        <v>4.6131758934773671E-5</v>
      </c>
      <c r="E20" s="259" cm="1">
        <f t="array" aca="1" ref="E20" ca="1">_xlfn.XLOOKUP(E$13,INDIRECT("'"&amp;$B20&amp;" EI'!$B$6:$B$53"),_xlfn.XLOOKUP($C$10,INDIRECT("'"&amp;$B20&amp;" EI'!$D$4:$Z$4"),INDIRECT("'"&amp;$B20&amp;" EI'!$D$6:$Z$53")))*_xlfn.XLOOKUP($B20&amp;E$15,'Gas Useage'!$A$4:$A$15&amp;'Gas Useage'!$B$4:$B$15,_xlfn.XLOOKUP($C20&amp;E$14,'Gas Useage'!$C$2:$AB$2&amp;'Gas Useage'!$C$3:$AB$3,'Gas Useage'!$C$4:$AB$15))/_xlfn.XLOOKUP($B20&amp;E$15,'Gas Useage'!$A$4:$A$15&amp;'Gas Useage'!$B$4:$B$15,_xlfn.XLOOKUP(E$14,'Gas Useage'!$AA$3:$AB$3,'Gas Useage'!$AA$4:$AB$15))</f>
        <v>5.3135990537044801E-5</v>
      </c>
      <c r="F20" s="259" cm="1">
        <f t="array" aca="1" ref="F20" ca="1">_xlfn.XLOOKUP(F$13,INDIRECT("'"&amp;$B20&amp;" EI'!$B$6:$B$53"),_xlfn.XLOOKUP($C$10,INDIRECT("'"&amp;$B20&amp;" EI'!$D$4:$Z$4"),INDIRECT("'"&amp;$B20&amp;" EI'!$D$6:$Z$53")))*_xlfn.XLOOKUP($B20&amp;F$15,'Gas Useage'!$A$4:$A$15&amp;'Gas Useage'!$B$4:$B$15,_xlfn.XLOOKUP($C20&amp;F$14,'Gas Useage'!$C$2:$AB$2&amp;'Gas Useage'!$C$3:$AB$3,'Gas Useage'!$C$4:$AB$15))/_xlfn.XLOOKUP($B20&amp;F$15,'Gas Useage'!$A$4:$A$15&amp;'Gas Useage'!$B$4:$B$15,_xlfn.XLOOKUP(F$14,'Gas Useage'!$AA$3:$AB$3,'Gas Useage'!$AA$4:$AB$15))</f>
        <v>2.2285384523067575E-8</v>
      </c>
      <c r="G20" s="259" cm="1">
        <f t="array" aca="1" ref="G20" ca="1">_xlfn.XLOOKUP(G$13,INDIRECT("'"&amp;$B20&amp;" EI'!$B$6:$B$53"),_xlfn.XLOOKUP($C$10,INDIRECT("'"&amp;$B20&amp;" EI'!$D$4:$Z$4"),INDIRECT("'"&amp;$B20&amp;" EI'!$D$6:$Z$53")))*_xlfn.XLOOKUP($B20&amp;G$15,'Gas Useage'!$A$4:$A$15&amp;'Gas Useage'!$B$4:$B$15,_xlfn.XLOOKUP($C20&amp;G$14,'Gas Useage'!$C$2:$AB$2&amp;'Gas Useage'!$C$3:$AB$3,'Gas Useage'!$C$4:$AB$15))/_xlfn.XLOOKUP($B20&amp;G$15,'Gas Useage'!$A$4:$A$15&amp;'Gas Useage'!$B$4:$B$15,_xlfn.XLOOKUP(G$14,'Gas Useage'!$AA$3:$AB$3,'Gas Useage'!$AA$4:$AB$15))</f>
        <v>2.5668996987659152E-8</v>
      </c>
      <c r="H20" s="260" t="s">
        <v>278</v>
      </c>
      <c r="I20" s="260" t="s">
        <v>278</v>
      </c>
      <c r="J20" s="260" t="s">
        <v>278</v>
      </c>
      <c r="K20" s="261" t="s">
        <v>278</v>
      </c>
      <c r="N20" s="258"/>
    </row>
    <row r="21" spans="2:14" ht="13.5" hidden="1" x14ac:dyDescent="0.25">
      <c r="B21" s="32">
        <v>2020</v>
      </c>
      <c r="C21" s="198" t="s">
        <v>283</v>
      </c>
      <c r="D21" s="259" cm="1">
        <f t="array" aca="1" ref="D21" ca="1">_xlfn.XLOOKUP(D$13,INDIRECT("'"&amp;$B21&amp;" EI'!$B$6:$B$53"),_xlfn.XLOOKUP($C$10,INDIRECT("'"&amp;$B21&amp;" EI'!$D$4:$Z$4"),INDIRECT("'"&amp;$B21&amp;" EI'!$D$6:$Z$53")))*_xlfn.XLOOKUP($B21&amp;D$15,'Gas Useage'!$A$4:$A$15&amp;'Gas Useage'!$B$4:$B$15,_xlfn.XLOOKUP($C21&amp;D$14,'Gas Useage'!$C$2:$AB$2&amp;'Gas Useage'!$C$3:$AB$3,'Gas Useage'!$C$4:$AB$15))/_xlfn.XLOOKUP($B21&amp;D$15,'Gas Useage'!$A$4:$A$15&amp;'Gas Useage'!$B$4:$B$15,_xlfn.XLOOKUP(D$14,'Gas Useage'!$AA$3:$AB$3,'Gas Useage'!$AA$4:$AB$15))</f>
        <v>0</v>
      </c>
      <c r="E21" s="259" cm="1">
        <f t="array" aca="1" ref="E21" ca="1">_xlfn.XLOOKUP(E$13,INDIRECT("'"&amp;$B21&amp;" EI'!$B$6:$B$53"),_xlfn.XLOOKUP($C$10,INDIRECT("'"&amp;$B21&amp;" EI'!$D$4:$Z$4"),INDIRECT("'"&amp;$B21&amp;" EI'!$D$6:$Z$53")))*_xlfn.XLOOKUP($B21&amp;E$15,'Gas Useage'!$A$4:$A$15&amp;'Gas Useage'!$B$4:$B$15,_xlfn.XLOOKUP($C21&amp;E$14,'Gas Useage'!$C$2:$AB$2&amp;'Gas Useage'!$C$3:$AB$3,'Gas Useage'!$C$4:$AB$15))/_xlfn.XLOOKUP($B21&amp;E$15,'Gas Useage'!$A$4:$A$15&amp;'Gas Useage'!$B$4:$B$15,_xlfn.XLOOKUP(E$14,'Gas Useage'!$AA$3:$AB$3,'Gas Useage'!$AA$4:$AB$15))</f>
        <v>0</v>
      </c>
      <c r="F21" s="259" cm="1">
        <f t="array" aca="1" ref="F21" ca="1">_xlfn.XLOOKUP(F$13,INDIRECT("'"&amp;$B21&amp;" EI'!$B$6:$B$53"),_xlfn.XLOOKUP($C$10,INDIRECT("'"&amp;$B21&amp;" EI'!$D$4:$Z$4"),INDIRECT("'"&amp;$B21&amp;" EI'!$D$6:$Z$53")))*_xlfn.XLOOKUP($B21&amp;F$15,'Gas Useage'!$A$4:$A$15&amp;'Gas Useage'!$B$4:$B$15,_xlfn.XLOOKUP($C21&amp;F$14,'Gas Useage'!$C$2:$AB$2&amp;'Gas Useage'!$C$3:$AB$3,'Gas Useage'!$C$4:$AB$15))/_xlfn.XLOOKUP($B21&amp;F$15,'Gas Useage'!$A$4:$A$15&amp;'Gas Useage'!$B$4:$B$15,_xlfn.XLOOKUP(F$14,'Gas Useage'!$AA$3:$AB$3,'Gas Useage'!$AA$4:$AB$15))</f>
        <v>0</v>
      </c>
      <c r="G21" s="259" cm="1">
        <f t="array" aca="1" ref="G21" ca="1">_xlfn.XLOOKUP(G$13,INDIRECT("'"&amp;$B21&amp;" EI'!$B$6:$B$53"),_xlfn.XLOOKUP($C$10,INDIRECT("'"&amp;$B21&amp;" EI'!$D$4:$Z$4"),INDIRECT("'"&amp;$B21&amp;" EI'!$D$6:$Z$53")))*_xlfn.XLOOKUP($B21&amp;G$15,'Gas Useage'!$A$4:$A$15&amp;'Gas Useage'!$B$4:$B$15,_xlfn.XLOOKUP($C21&amp;G$14,'Gas Useage'!$C$2:$AB$2&amp;'Gas Useage'!$C$3:$AB$3,'Gas Useage'!$C$4:$AB$15))/_xlfn.XLOOKUP($B21&amp;G$15,'Gas Useage'!$A$4:$A$15&amp;'Gas Useage'!$B$4:$B$15,_xlfn.XLOOKUP(G$14,'Gas Useage'!$AA$3:$AB$3,'Gas Useage'!$AA$4:$AB$15))</f>
        <v>0</v>
      </c>
      <c r="H21" s="260" t="s">
        <v>278</v>
      </c>
      <c r="I21" s="260" t="s">
        <v>278</v>
      </c>
      <c r="J21" s="260" t="s">
        <v>278</v>
      </c>
      <c r="K21" s="261" t="s">
        <v>278</v>
      </c>
      <c r="N21" s="258"/>
    </row>
    <row r="22" spans="2:14" ht="13.5" hidden="1" x14ac:dyDescent="0.25">
      <c r="B22" s="32">
        <v>2020</v>
      </c>
      <c r="C22" s="198" t="s">
        <v>284</v>
      </c>
      <c r="D22" s="259" cm="1">
        <f t="array" aca="1" ref="D22" ca="1">_xlfn.XLOOKUP(D$13,INDIRECT("'"&amp;$B22&amp;" EI'!$B$6:$B$53"),_xlfn.XLOOKUP($C$10,INDIRECT("'"&amp;$B22&amp;" EI'!$D$4:$Z$4"),INDIRECT("'"&amp;$B22&amp;" EI'!$D$6:$Z$53")))*_xlfn.XLOOKUP($B22&amp;D$15,'Gas Useage'!$A$4:$A$15&amp;'Gas Useage'!$B$4:$B$15,_xlfn.XLOOKUP($C22&amp;D$14,'Gas Useage'!$C$2:$AB$2&amp;'Gas Useage'!$C$3:$AB$3,'Gas Useage'!$C$4:$AB$15))/_xlfn.XLOOKUP($B22&amp;D$15,'Gas Useage'!$A$4:$A$15&amp;'Gas Useage'!$B$4:$B$15,_xlfn.XLOOKUP(D$14,'Gas Useage'!$AA$3:$AB$3,'Gas Useage'!$AA$4:$AB$15))</f>
        <v>1.8546478410300621E-3</v>
      </c>
      <c r="E22" s="259" cm="1">
        <f t="array" aca="1" ref="E22" ca="1">_xlfn.XLOOKUP(E$13,INDIRECT("'"&amp;$B22&amp;" EI'!$B$6:$B$53"),_xlfn.XLOOKUP($C$10,INDIRECT("'"&amp;$B22&amp;" EI'!$D$4:$Z$4"),INDIRECT("'"&amp;$B22&amp;" EI'!$D$6:$Z$53")))*_xlfn.XLOOKUP($B22&amp;E$15,'Gas Useage'!$A$4:$A$15&amp;'Gas Useage'!$B$4:$B$15,_xlfn.XLOOKUP($C22&amp;E$14,'Gas Useage'!$C$2:$AB$2&amp;'Gas Useage'!$C$3:$AB$3,'Gas Useage'!$C$4:$AB$15))/_xlfn.XLOOKUP($B22&amp;E$15,'Gas Useage'!$A$4:$A$15&amp;'Gas Useage'!$B$4:$B$15,_xlfn.XLOOKUP(E$14,'Gas Useage'!$AA$3:$AB$3,'Gas Useage'!$AA$4:$AB$15))</f>
        <v>3.4077437544892514E-3</v>
      </c>
      <c r="F22" s="259" cm="1">
        <f t="array" aca="1" ref="F22" ca="1">_xlfn.XLOOKUP(F$13,INDIRECT("'"&amp;$B22&amp;" EI'!$B$6:$B$53"),_xlfn.XLOOKUP($C$10,INDIRECT("'"&amp;$B22&amp;" EI'!$D$4:$Z$4"),INDIRECT("'"&amp;$B22&amp;" EI'!$D$6:$Z$53")))*_xlfn.XLOOKUP($B22&amp;F$15,'Gas Useage'!$A$4:$A$15&amp;'Gas Useage'!$B$4:$B$15,_xlfn.XLOOKUP($C22&amp;F$14,'Gas Useage'!$C$2:$AB$2&amp;'Gas Useage'!$C$3:$AB$3,'Gas Useage'!$C$4:$AB$15))/_xlfn.XLOOKUP($B22&amp;F$15,'Gas Useage'!$A$4:$A$15&amp;'Gas Useage'!$B$4:$B$15,_xlfn.XLOOKUP(F$14,'Gas Useage'!$AA$3:$AB$3,'Gas Useage'!$AA$4:$AB$15))</f>
        <v>1.1657500059150693E-3</v>
      </c>
      <c r="G22" s="259" cm="1">
        <f t="array" aca="1" ref="G22" ca="1">_xlfn.XLOOKUP(G$13,INDIRECT("'"&amp;$B22&amp;" EI'!$B$6:$B$53"),_xlfn.XLOOKUP($C$10,INDIRECT("'"&amp;$B22&amp;" EI'!$D$4:$Z$4"),INDIRECT("'"&amp;$B22&amp;" EI'!$D$6:$Z$53")))*_xlfn.XLOOKUP($B22&amp;G$15,'Gas Useage'!$A$4:$A$15&amp;'Gas Useage'!$B$4:$B$15,_xlfn.XLOOKUP($C22&amp;G$14,'Gas Useage'!$C$2:$AB$2&amp;'Gas Useage'!$C$3:$AB$3,'Gas Useage'!$C$4:$AB$15))/_xlfn.XLOOKUP($B22&amp;G$15,'Gas Useage'!$A$4:$A$15&amp;'Gas Useage'!$B$4:$B$15,_xlfn.XLOOKUP(G$14,'Gas Useage'!$AA$3:$AB$3,'Gas Useage'!$AA$4:$AB$15))</f>
        <v>2.1419577420943355E-3</v>
      </c>
      <c r="H22" s="260" t="s">
        <v>278</v>
      </c>
      <c r="I22" s="260" t="s">
        <v>278</v>
      </c>
      <c r="J22" s="260" t="s">
        <v>278</v>
      </c>
      <c r="K22" s="261" t="s">
        <v>278</v>
      </c>
      <c r="N22" s="258"/>
    </row>
    <row r="23" spans="2:14" ht="13.5" hidden="1" x14ac:dyDescent="0.25">
      <c r="B23" s="32">
        <v>2020</v>
      </c>
      <c r="C23" s="198" t="s">
        <v>285</v>
      </c>
      <c r="D23" s="259" cm="1">
        <f t="array" aca="1" ref="D23" ca="1">_xlfn.XLOOKUP(D$13,INDIRECT("'"&amp;$B23&amp;" EI'!$B$6:$B$53"),_xlfn.XLOOKUP($C$10,INDIRECT("'"&amp;$B23&amp;" EI'!$D$4:$Z$4"),INDIRECT("'"&amp;$B23&amp;" EI'!$D$6:$Z$53")))*_xlfn.XLOOKUP($B23&amp;D$15,'Gas Useage'!$A$4:$A$15&amp;'Gas Useage'!$B$4:$B$15,_xlfn.XLOOKUP($C23&amp;D$14,'Gas Useage'!$C$2:$AB$2&amp;'Gas Useage'!$C$3:$AB$3,'Gas Useage'!$C$4:$AB$15))/_xlfn.XLOOKUP($B23&amp;D$15,'Gas Useage'!$A$4:$A$15&amp;'Gas Useage'!$B$4:$B$15,_xlfn.XLOOKUP(D$14,'Gas Useage'!$AA$3:$AB$3,'Gas Useage'!$AA$4:$AB$15))</f>
        <v>1.8654132489967414E-3</v>
      </c>
      <c r="E23" s="259" cm="1">
        <f t="array" aca="1" ref="E23" ca="1">_xlfn.XLOOKUP(E$13,INDIRECT("'"&amp;$B23&amp;" EI'!$B$6:$B$53"),_xlfn.XLOOKUP($C$10,INDIRECT("'"&amp;$B23&amp;" EI'!$D$4:$Z$4"),INDIRECT("'"&amp;$B23&amp;" EI'!$D$6:$Z$53")))*_xlfn.XLOOKUP($B23&amp;E$15,'Gas Useage'!$A$4:$A$15&amp;'Gas Useage'!$B$4:$B$15,_xlfn.XLOOKUP($C23&amp;E$14,'Gas Useage'!$C$2:$AB$2&amp;'Gas Useage'!$C$3:$AB$3,'Gas Useage'!$C$4:$AB$15))/_xlfn.XLOOKUP($B23&amp;E$15,'Gas Useage'!$A$4:$A$15&amp;'Gas Useage'!$B$4:$B$15,_xlfn.XLOOKUP(E$14,'Gas Useage'!$AA$3:$AB$3,'Gas Useage'!$AA$4:$AB$15))</f>
        <v>2.6061375537064588E-3</v>
      </c>
      <c r="F23" s="259" cm="1">
        <f t="array" aca="1" ref="F23" ca="1">_xlfn.XLOOKUP(F$13,INDIRECT("'"&amp;$B23&amp;" EI'!$B$6:$B$53"),_xlfn.XLOOKUP($C$10,INDIRECT("'"&amp;$B23&amp;" EI'!$D$4:$Z$4"),INDIRECT("'"&amp;$B23&amp;" EI'!$D$6:$Z$53")))*_xlfn.XLOOKUP($B23&amp;F$15,'Gas Useage'!$A$4:$A$15&amp;'Gas Useage'!$B$4:$B$15,_xlfn.XLOOKUP($C23&amp;F$14,'Gas Useage'!$C$2:$AB$2&amp;'Gas Useage'!$C$3:$AB$3,'Gas Useage'!$C$4:$AB$15))/_xlfn.XLOOKUP($B23&amp;F$15,'Gas Useage'!$A$4:$A$15&amp;'Gas Useage'!$B$4:$B$15,_xlfn.XLOOKUP(F$14,'Gas Useage'!$AA$3:$AB$3,'Gas Useage'!$AA$4:$AB$15))</f>
        <v>2.1611696454275792E-4</v>
      </c>
      <c r="G23" s="259" cm="1">
        <f t="array" aca="1" ref="G23" ca="1">_xlfn.XLOOKUP(G$13,INDIRECT("'"&amp;$B23&amp;" EI'!$B$6:$B$53"),_xlfn.XLOOKUP($C$10,INDIRECT("'"&amp;$B23&amp;" EI'!$D$4:$Z$4"),INDIRECT("'"&amp;$B23&amp;" EI'!$D$6:$Z$53")))*_xlfn.XLOOKUP($B23&amp;G$15,'Gas Useage'!$A$4:$A$15&amp;'Gas Useage'!$B$4:$B$15,_xlfn.XLOOKUP($C23&amp;G$14,'Gas Useage'!$C$2:$AB$2&amp;'Gas Useage'!$C$3:$AB$3,'Gas Useage'!$C$4:$AB$15))/_xlfn.XLOOKUP($B23&amp;G$15,'Gas Useage'!$A$4:$A$15&amp;'Gas Useage'!$B$4:$B$15,_xlfn.XLOOKUP(G$14,'Gas Useage'!$AA$3:$AB$3,'Gas Useage'!$AA$4:$AB$15))</f>
        <v>3.0193338531869329E-4</v>
      </c>
      <c r="H23" s="260" t="s">
        <v>278</v>
      </c>
      <c r="I23" s="260" t="s">
        <v>278</v>
      </c>
      <c r="J23" s="260" t="s">
        <v>278</v>
      </c>
      <c r="K23" s="261" t="s">
        <v>278</v>
      </c>
      <c r="N23" s="258"/>
    </row>
    <row r="24" spans="2:14" ht="13.5" hidden="1" x14ac:dyDescent="0.25">
      <c r="B24" s="32">
        <v>2020</v>
      </c>
      <c r="C24" s="198" t="s">
        <v>286</v>
      </c>
      <c r="D24" s="259" cm="1">
        <f t="array" aca="1" ref="D24" ca="1">_xlfn.XLOOKUP(D$13,INDIRECT("'"&amp;$B24&amp;" EI'!$B$6:$B$53"),_xlfn.XLOOKUP($C$10,INDIRECT("'"&amp;$B24&amp;" EI'!$D$4:$Z$4"),INDIRECT("'"&amp;$B24&amp;" EI'!$D$6:$Z$53")))*_xlfn.XLOOKUP($B24&amp;D$15,'Gas Useage'!$A$4:$A$15&amp;'Gas Useage'!$B$4:$B$15,_xlfn.XLOOKUP($C24&amp;D$14,'Gas Useage'!$C$2:$AB$2&amp;'Gas Useage'!$C$3:$AB$3,'Gas Useage'!$C$4:$AB$15))/_xlfn.XLOOKUP($B24&amp;D$15,'Gas Useage'!$A$4:$A$15&amp;'Gas Useage'!$B$4:$B$15,_xlfn.XLOOKUP(D$14,'Gas Useage'!$AA$3:$AB$3,'Gas Useage'!$AA$4:$AB$15))</f>
        <v>5.1209785550337982E-4</v>
      </c>
      <c r="E24" s="259" cm="1">
        <f t="array" aca="1" ref="E24" ca="1">_xlfn.XLOOKUP(E$13,INDIRECT("'"&amp;$B24&amp;" EI'!$B$6:$B$53"),_xlfn.XLOOKUP($C$10,INDIRECT("'"&amp;$B24&amp;" EI'!$D$4:$Z$4"),INDIRECT("'"&amp;$B24&amp;" EI'!$D$6:$Z$53")))*_xlfn.XLOOKUP($B24&amp;E$15,'Gas Useage'!$A$4:$A$15&amp;'Gas Useage'!$B$4:$B$15,_xlfn.XLOOKUP($C24&amp;E$14,'Gas Useage'!$C$2:$AB$2&amp;'Gas Useage'!$C$3:$AB$3,'Gas Useage'!$C$4:$AB$15))/_xlfn.XLOOKUP($B24&amp;E$15,'Gas Useage'!$A$4:$A$15&amp;'Gas Useage'!$B$4:$B$15,_xlfn.XLOOKUP(E$14,'Gas Useage'!$AA$3:$AB$3,'Gas Useage'!$AA$4:$AB$15))</f>
        <v>1.1671045906889417E-3</v>
      </c>
      <c r="F24" s="259" cm="1">
        <f t="array" aca="1" ref="F24" ca="1">_xlfn.XLOOKUP(F$13,INDIRECT("'"&amp;$B24&amp;" EI'!$B$6:$B$53"),_xlfn.XLOOKUP($C$10,INDIRECT("'"&amp;$B24&amp;" EI'!$D$4:$Z$4"),INDIRECT("'"&amp;$B24&amp;" EI'!$D$6:$Z$53")))*_xlfn.XLOOKUP($B24&amp;F$15,'Gas Useage'!$A$4:$A$15&amp;'Gas Useage'!$B$4:$B$15,_xlfn.XLOOKUP($C24&amp;F$14,'Gas Useage'!$C$2:$AB$2&amp;'Gas Useage'!$C$3:$AB$3,'Gas Useage'!$C$4:$AB$15))/_xlfn.XLOOKUP($B24&amp;F$15,'Gas Useage'!$A$4:$A$15&amp;'Gas Useage'!$B$4:$B$15,_xlfn.XLOOKUP(F$14,'Gas Useage'!$AA$3:$AB$3,'Gas Useage'!$AA$4:$AB$15))</f>
        <v>3.5057889454098403E-6</v>
      </c>
      <c r="G24" s="259" cm="1">
        <f t="array" aca="1" ref="G24" ca="1">_xlfn.XLOOKUP(G$13,INDIRECT("'"&amp;$B24&amp;" EI'!$B$6:$B$53"),_xlfn.XLOOKUP($C$10,INDIRECT("'"&amp;$B24&amp;" EI'!$D$4:$Z$4"),INDIRECT("'"&amp;$B24&amp;" EI'!$D$6:$Z$53")))*_xlfn.XLOOKUP($B24&amp;G$15,'Gas Useage'!$A$4:$A$15&amp;'Gas Useage'!$B$4:$B$15,_xlfn.XLOOKUP($C24&amp;G$14,'Gas Useage'!$C$2:$AB$2&amp;'Gas Useage'!$C$3:$AB$3,'Gas Useage'!$C$4:$AB$15))/_xlfn.XLOOKUP($B24&amp;G$15,'Gas Useage'!$A$4:$A$15&amp;'Gas Useage'!$B$4:$B$15,_xlfn.XLOOKUP(G$14,'Gas Useage'!$AA$3:$AB$3,'Gas Useage'!$AA$4:$AB$15))</f>
        <v>7.9899228793926549E-6</v>
      </c>
      <c r="H24" s="260" t="s">
        <v>278</v>
      </c>
      <c r="I24" s="260" t="s">
        <v>278</v>
      </c>
      <c r="J24" s="260" t="s">
        <v>278</v>
      </c>
      <c r="K24" s="261" t="s">
        <v>278</v>
      </c>
      <c r="N24" s="258"/>
    </row>
    <row r="25" spans="2:14" ht="13.5" x14ac:dyDescent="0.25">
      <c r="B25" s="32">
        <v>2020</v>
      </c>
      <c r="C25" s="494" t="s">
        <v>287</v>
      </c>
      <c r="D25" s="259" cm="1">
        <f t="array" aca="1" ref="D25" ca="1">_xlfn.XLOOKUP(D$13,INDIRECT("'"&amp;$B25&amp;" EI'!$B$6:$B$53"),_xlfn.XLOOKUP($C$10,INDIRECT("'"&amp;$B25&amp;" EI'!$D$4:$Z$4"),INDIRECT("'"&amp;$B25&amp;" EI'!$D$6:$Z$53")))*_xlfn.XLOOKUP($B25&amp;D$15,'Gas Useage'!$A$4:$A$15&amp;'Gas Useage'!$B$4:$B$15,_xlfn.XLOOKUP($C25&amp;D$14,'Gas Useage'!$C$2:$AB$2&amp;'Gas Useage'!$C$3:$AB$3,'Gas Useage'!$C$4:$AB$15))/_xlfn.XLOOKUP($B25&amp;D$15,'Gas Useage'!$A$4:$A$15&amp;'Gas Useage'!$B$4:$B$15,_xlfn.XLOOKUP(D$14,'Gas Useage'!$AA$3:$AB$3,'Gas Useage'!$AA$4:$AB$15))</f>
        <v>5.9568060619006821E-4</v>
      </c>
      <c r="E25" s="259" cm="1">
        <f t="array" aca="1" ref="E25" ca="1">_xlfn.XLOOKUP(E$13,INDIRECT("'"&amp;$B25&amp;" EI'!$B$6:$B$53"),_xlfn.XLOOKUP($C$10,INDIRECT("'"&amp;$B25&amp;" EI'!$D$4:$Z$4"),INDIRECT("'"&amp;$B25&amp;" EI'!$D$6:$Z$53")))*_xlfn.XLOOKUP($B25&amp;E$15,'Gas Useage'!$A$4:$A$15&amp;'Gas Useage'!$B$4:$B$15,_xlfn.XLOOKUP($C25&amp;E$14,'Gas Useage'!$C$2:$AB$2&amp;'Gas Useage'!$C$3:$AB$3,'Gas Useage'!$C$4:$AB$15))/_xlfn.XLOOKUP($B25&amp;E$15,'Gas Useage'!$A$4:$A$15&amp;'Gas Useage'!$B$4:$B$15,_xlfn.XLOOKUP(E$14,'Gas Useage'!$AA$3:$AB$3,'Gas Useage'!$AA$4:$AB$15))</f>
        <v>9.4786384426884512E-4</v>
      </c>
      <c r="F25" s="259" cm="1">
        <f t="array" aca="1" ref="F25" ca="1">_xlfn.XLOOKUP(F$13,INDIRECT("'"&amp;$B25&amp;" EI'!$B$6:$B$53"),_xlfn.XLOOKUP($C$10,INDIRECT("'"&amp;$B25&amp;" EI'!$D$4:$Z$4"),INDIRECT("'"&amp;$B25&amp;" EI'!$D$6:$Z$53")))*_xlfn.XLOOKUP($B25&amp;F$15,'Gas Useage'!$A$4:$A$15&amp;'Gas Useage'!$B$4:$B$15,_xlfn.XLOOKUP($C25&amp;F$14,'Gas Useage'!$C$2:$AB$2&amp;'Gas Useage'!$C$3:$AB$3,'Gas Useage'!$C$4:$AB$15))/_xlfn.XLOOKUP($B25&amp;F$15,'Gas Useage'!$A$4:$A$15&amp;'Gas Useage'!$B$4:$B$15,_xlfn.XLOOKUP(F$14,'Gas Useage'!$AA$3:$AB$3,'Gas Useage'!$AA$4:$AB$15))</f>
        <v>1.3776054012369031E-3</v>
      </c>
      <c r="G25" s="259" cm="1">
        <f t="array" aca="1" ref="G25" ca="1">_xlfn.XLOOKUP(G$13,INDIRECT("'"&amp;$B25&amp;" EI'!$B$6:$B$53"),_xlfn.XLOOKUP($C$10,INDIRECT("'"&amp;$B25&amp;" EI'!$D$4:$Z$4"),INDIRECT("'"&amp;$B25&amp;" EI'!$D$6:$Z$53")))*_xlfn.XLOOKUP($B25&amp;G$15,'Gas Useage'!$A$4:$A$15&amp;'Gas Useage'!$B$4:$B$15,_xlfn.XLOOKUP($C25&amp;G$14,'Gas Useage'!$C$2:$AB$2&amp;'Gas Useage'!$C$3:$AB$3,'Gas Useage'!$C$4:$AB$15))/_xlfn.XLOOKUP($B25&amp;G$15,'Gas Useage'!$A$4:$A$15&amp;'Gas Useage'!$B$4:$B$15,_xlfn.XLOOKUP(G$14,'Gas Useage'!$AA$3:$AB$3,'Gas Useage'!$AA$4:$AB$15))</f>
        <v>2.1920847144137013E-3</v>
      </c>
      <c r="H25" s="260" t="s">
        <v>278</v>
      </c>
      <c r="I25" s="260" t="s">
        <v>278</v>
      </c>
      <c r="J25" s="260" t="s">
        <v>278</v>
      </c>
      <c r="K25" s="261" t="s">
        <v>278</v>
      </c>
      <c r="N25" s="258"/>
    </row>
    <row r="26" spans="2:14" ht="13.5" x14ac:dyDescent="0.25">
      <c r="B26" s="32">
        <v>2020</v>
      </c>
      <c r="C26" s="494" t="s">
        <v>288</v>
      </c>
      <c r="D26" s="259" cm="1">
        <f t="array" aca="1" ref="D26" ca="1">_xlfn.XLOOKUP(D$13,INDIRECT("'"&amp;$B26&amp;" EI'!$B$6:$B$53"),_xlfn.XLOOKUP($C$10,INDIRECT("'"&amp;$B26&amp;" EI'!$D$4:$Z$4"),INDIRECT("'"&amp;$B26&amp;" EI'!$D$6:$Z$53")))*_xlfn.XLOOKUP($B26&amp;D$15,'Gas Useage'!$A$4:$A$15&amp;'Gas Useage'!$B$4:$B$15,_xlfn.XLOOKUP($C26&amp;D$14,'Gas Useage'!$C$2:$AB$2&amp;'Gas Useage'!$C$3:$AB$3,'Gas Useage'!$C$4:$AB$15))/_xlfn.XLOOKUP($B26&amp;D$15,'Gas Useage'!$A$4:$A$15&amp;'Gas Useage'!$B$4:$B$15,_xlfn.XLOOKUP(D$14,'Gas Useage'!$AA$3:$AB$3,'Gas Useage'!$AA$4:$AB$15))</f>
        <v>1.2844077687407581E-3</v>
      </c>
      <c r="E26" s="259" cm="1">
        <f t="array" aca="1" ref="E26" ca="1">_xlfn.XLOOKUP(E$13,INDIRECT("'"&amp;$B26&amp;" EI'!$B$6:$B$53"),_xlfn.XLOOKUP($C$10,INDIRECT("'"&amp;$B26&amp;" EI'!$D$4:$Z$4"),INDIRECT("'"&amp;$B26&amp;" EI'!$D$6:$Z$53")))*_xlfn.XLOOKUP($B26&amp;E$15,'Gas Useage'!$A$4:$A$15&amp;'Gas Useage'!$B$4:$B$15,_xlfn.XLOOKUP($C26&amp;E$14,'Gas Useage'!$C$2:$AB$2&amp;'Gas Useage'!$C$3:$AB$3,'Gas Useage'!$C$4:$AB$15))/_xlfn.XLOOKUP($B26&amp;E$15,'Gas Useage'!$A$4:$A$15&amp;'Gas Useage'!$B$4:$B$15,_xlfn.XLOOKUP(E$14,'Gas Useage'!$AA$3:$AB$3,'Gas Useage'!$AA$4:$AB$15))</f>
        <v>2.761102004632858E-3</v>
      </c>
      <c r="F26" s="259" cm="1">
        <f t="array" aca="1" ref="F26" ca="1">_xlfn.XLOOKUP(F$13,INDIRECT("'"&amp;$B26&amp;" EI'!$B$6:$B$53"),_xlfn.XLOOKUP($C$10,INDIRECT("'"&amp;$B26&amp;" EI'!$D$4:$Z$4"),INDIRECT("'"&amp;$B26&amp;" EI'!$D$6:$Z$53")))*_xlfn.XLOOKUP($B26&amp;F$15,'Gas Useage'!$A$4:$A$15&amp;'Gas Useage'!$B$4:$B$15,_xlfn.XLOOKUP($C26&amp;F$14,'Gas Useage'!$C$2:$AB$2&amp;'Gas Useage'!$C$3:$AB$3,'Gas Useage'!$C$4:$AB$15))/_xlfn.XLOOKUP($B26&amp;F$15,'Gas Useage'!$A$4:$A$15&amp;'Gas Useage'!$B$4:$B$15,_xlfn.XLOOKUP(F$14,'Gas Useage'!$AA$3:$AB$3,'Gas Useage'!$AA$4:$AB$15))</f>
        <v>1.9442191733725163E-3</v>
      </c>
      <c r="G26" s="259" cm="1">
        <f t="array" aca="1" ref="G26" ca="1">_xlfn.XLOOKUP(G$13,INDIRECT("'"&amp;$B26&amp;" EI'!$B$6:$B$53"),_xlfn.XLOOKUP($C$10,INDIRECT("'"&amp;$B26&amp;" EI'!$D$4:$Z$4"),INDIRECT("'"&amp;$B26&amp;" EI'!$D$6:$Z$53")))*_xlfn.XLOOKUP($B26&amp;G$15,'Gas Useage'!$A$4:$A$15&amp;'Gas Useage'!$B$4:$B$15,_xlfn.XLOOKUP($C26&amp;G$14,'Gas Useage'!$C$2:$AB$2&amp;'Gas Useage'!$C$3:$AB$3,'Gas Useage'!$C$4:$AB$15))/_xlfn.XLOOKUP($B26&amp;G$15,'Gas Useage'!$A$4:$A$15&amp;'Gas Useage'!$B$4:$B$15,_xlfn.XLOOKUP(G$14,'Gas Useage'!$AA$3:$AB$3,'Gas Useage'!$AA$4:$AB$15))</f>
        <v>4.1795040388984094E-3</v>
      </c>
      <c r="H26" s="260" t="s">
        <v>278</v>
      </c>
      <c r="I26" s="260" t="s">
        <v>278</v>
      </c>
      <c r="J26" s="260" t="s">
        <v>278</v>
      </c>
      <c r="K26" s="261" t="s">
        <v>278</v>
      </c>
      <c r="N26" s="258"/>
    </row>
    <row r="27" spans="2:14" ht="13.5" x14ac:dyDescent="0.25">
      <c r="B27" s="32">
        <v>2020</v>
      </c>
      <c r="C27" s="494" t="s">
        <v>289</v>
      </c>
      <c r="D27" s="259" cm="1">
        <f t="array" aca="1" ref="D27" ca="1">_xlfn.XLOOKUP(D$13,INDIRECT("'"&amp;$B27&amp;" EI'!$B$6:$B$53"),_xlfn.XLOOKUP($C$10,INDIRECT("'"&amp;$B27&amp;" EI'!$D$4:$Z$4"),INDIRECT("'"&amp;$B27&amp;" EI'!$D$6:$Z$53")))*_xlfn.XLOOKUP($B27&amp;D$15,'Gas Useage'!$A$4:$A$15&amp;'Gas Useage'!$B$4:$B$15,_xlfn.XLOOKUP($C27&amp;D$14,'Gas Useage'!$C$2:$AB$2&amp;'Gas Useage'!$C$3:$AB$3,'Gas Useage'!$C$4:$AB$15))/_xlfn.XLOOKUP($B27&amp;D$15,'Gas Useage'!$A$4:$A$15&amp;'Gas Useage'!$B$4:$B$15,_xlfn.XLOOKUP(D$14,'Gas Useage'!$AA$3:$AB$3,'Gas Useage'!$AA$4:$AB$15))</f>
        <v>1.2844077687407581E-3</v>
      </c>
      <c r="E27" s="259" cm="1">
        <f t="array" aca="1" ref="E27" ca="1">_xlfn.XLOOKUP(E$13,INDIRECT("'"&amp;$B27&amp;" EI'!$B$6:$B$53"),_xlfn.XLOOKUP($C$10,INDIRECT("'"&amp;$B27&amp;" EI'!$D$4:$Z$4"),INDIRECT("'"&amp;$B27&amp;" EI'!$D$6:$Z$53")))*_xlfn.XLOOKUP($B27&amp;E$15,'Gas Useage'!$A$4:$A$15&amp;'Gas Useage'!$B$4:$B$15,_xlfn.XLOOKUP($C27&amp;E$14,'Gas Useage'!$C$2:$AB$2&amp;'Gas Useage'!$C$3:$AB$3,'Gas Useage'!$C$4:$AB$15))/_xlfn.XLOOKUP($B27&amp;E$15,'Gas Useage'!$A$4:$A$15&amp;'Gas Useage'!$B$4:$B$15,_xlfn.XLOOKUP(E$14,'Gas Useage'!$AA$3:$AB$3,'Gas Useage'!$AA$4:$AB$15))</f>
        <v>2.761102004632858E-3</v>
      </c>
      <c r="F27" s="259" cm="1">
        <f t="array" aca="1" ref="F27" ca="1">_xlfn.XLOOKUP(F$13,INDIRECT("'"&amp;$B27&amp;" EI'!$B$6:$B$53"),_xlfn.XLOOKUP($C$10,INDIRECT("'"&amp;$B27&amp;" EI'!$D$4:$Z$4"),INDIRECT("'"&amp;$B27&amp;" EI'!$D$6:$Z$53")))*_xlfn.XLOOKUP($B27&amp;F$15,'Gas Useage'!$A$4:$A$15&amp;'Gas Useage'!$B$4:$B$15,_xlfn.XLOOKUP($C27&amp;F$14,'Gas Useage'!$C$2:$AB$2&amp;'Gas Useage'!$C$3:$AB$3,'Gas Useage'!$C$4:$AB$15))/_xlfn.XLOOKUP($B27&amp;F$15,'Gas Useage'!$A$4:$A$15&amp;'Gas Useage'!$B$4:$B$15,_xlfn.XLOOKUP(F$14,'Gas Useage'!$AA$3:$AB$3,'Gas Useage'!$AA$4:$AB$15))</f>
        <v>1.9442191733725163E-3</v>
      </c>
      <c r="G27" s="259" cm="1">
        <f t="array" aca="1" ref="G27" ca="1">_xlfn.XLOOKUP(G$13,INDIRECT("'"&amp;$B27&amp;" EI'!$B$6:$B$53"),_xlfn.XLOOKUP($C$10,INDIRECT("'"&amp;$B27&amp;" EI'!$D$4:$Z$4"),INDIRECT("'"&amp;$B27&amp;" EI'!$D$6:$Z$53")))*_xlfn.XLOOKUP($B27&amp;G$15,'Gas Useage'!$A$4:$A$15&amp;'Gas Useage'!$B$4:$B$15,_xlfn.XLOOKUP($C27&amp;G$14,'Gas Useage'!$C$2:$AB$2&amp;'Gas Useage'!$C$3:$AB$3,'Gas Useage'!$C$4:$AB$15))/_xlfn.XLOOKUP($B27&amp;G$15,'Gas Useage'!$A$4:$A$15&amp;'Gas Useage'!$B$4:$B$15,_xlfn.XLOOKUP(G$14,'Gas Useage'!$AA$3:$AB$3,'Gas Useage'!$AA$4:$AB$15))</f>
        <v>4.1795040388984094E-3</v>
      </c>
      <c r="H27" s="260" t="s">
        <v>278</v>
      </c>
      <c r="I27" s="260" t="s">
        <v>278</v>
      </c>
      <c r="J27" s="260" t="s">
        <v>278</v>
      </c>
      <c r="K27" s="261" t="s">
        <v>278</v>
      </c>
      <c r="N27" s="258"/>
    </row>
    <row r="28" spans="2:14" ht="13.5" x14ac:dyDescent="0.25">
      <c r="B28" s="32">
        <v>2021</v>
      </c>
      <c r="C28" s="494" t="s">
        <v>277</v>
      </c>
      <c r="D28" s="259" cm="1">
        <f t="array" aca="1" ref="D28" ca="1">_xlfn.XLOOKUP(D$13,INDIRECT("'"&amp;$B28&amp;" EI'!$B$6:$B$53"),_xlfn.XLOOKUP($C$10,INDIRECT("'"&amp;$B28&amp;" EI'!$D$4:$Z$4"),INDIRECT("'"&amp;$B28&amp;" EI'!$D$6:$Z$53")))*_xlfn.XLOOKUP($B28&amp;D$15,'Gas Useage'!$A$4:$A$15&amp;'Gas Useage'!$B$4:$B$15,_xlfn.XLOOKUP($C28&amp;D$14,'Gas Useage'!$C$2:$AB$2&amp;'Gas Useage'!$C$3:$AB$3,'Gas Useage'!$C$4:$AB$15))/_xlfn.XLOOKUP($B28&amp;D$15,'Gas Useage'!$A$4:$A$15&amp;'Gas Useage'!$B$4:$B$15,_xlfn.XLOOKUP(D$14,'Gas Useage'!$AA$3:$AB$3,'Gas Useage'!$AA$4:$AB$15))</f>
        <v>1.8636791678608106E-3</v>
      </c>
      <c r="E28" s="259" cm="1">
        <f t="array" aca="1" ref="E28" ca="1">_xlfn.XLOOKUP(E$13,INDIRECT("'"&amp;$B28&amp;" EI'!$B$6:$B$53"),_xlfn.XLOOKUP($C$10,INDIRECT("'"&amp;$B28&amp;" EI'!$D$4:$Z$4"),INDIRECT("'"&amp;$B28&amp;" EI'!$D$6:$Z$53")))*_xlfn.XLOOKUP($B28&amp;E$15,'Gas Useage'!$A$4:$A$15&amp;'Gas Useage'!$B$4:$B$15,_xlfn.XLOOKUP($C28&amp;E$14,'Gas Useage'!$C$2:$AB$2&amp;'Gas Useage'!$C$3:$AB$3,'Gas Useage'!$C$4:$AB$15))/_xlfn.XLOOKUP($B28&amp;E$15,'Gas Useage'!$A$4:$A$15&amp;'Gas Useage'!$B$4:$B$15,_xlfn.XLOOKUP(E$14,'Gas Useage'!$AA$3:$AB$3,'Gas Useage'!$AA$4:$AB$15))</f>
        <v>1.3135487626244828E-3</v>
      </c>
      <c r="F28" s="259" cm="1">
        <f t="array" aca="1" ref="F28" ca="1">_xlfn.XLOOKUP(F$13,INDIRECT("'"&amp;$B28&amp;" EI'!$B$6:$B$53"),_xlfn.XLOOKUP($C$10,INDIRECT("'"&amp;$B28&amp;" EI'!$D$4:$Z$4"),INDIRECT("'"&amp;$B28&amp;" EI'!$D$6:$Z$53")))*_xlfn.XLOOKUP($B28&amp;F$15,'Gas Useage'!$A$4:$A$15&amp;'Gas Useage'!$B$4:$B$15,_xlfn.XLOOKUP($C28&amp;F$14,'Gas Useage'!$C$2:$AB$2&amp;'Gas Useage'!$C$3:$AB$3,'Gas Useage'!$C$4:$AB$15))/_xlfn.XLOOKUP($B28&amp;F$15,'Gas Useage'!$A$4:$A$15&amp;'Gas Useage'!$B$4:$B$15,_xlfn.XLOOKUP(F$14,'Gas Useage'!$AA$3:$AB$3,'Gas Useage'!$AA$4:$AB$15))</f>
        <v>2.3087212208930986E-3</v>
      </c>
      <c r="G28" s="259" cm="1">
        <f t="array" aca="1" ref="G28" ca="1">_xlfn.XLOOKUP(G$13,INDIRECT("'"&amp;$B28&amp;" EI'!$B$6:$B$53"),_xlfn.XLOOKUP($C$10,INDIRECT("'"&amp;$B28&amp;" EI'!$D$4:$Z$4"),INDIRECT("'"&amp;$B28&amp;" EI'!$D$6:$Z$53")))*_xlfn.XLOOKUP($B28&amp;G$15,'Gas Useage'!$A$4:$A$15&amp;'Gas Useage'!$B$4:$B$15,_xlfn.XLOOKUP($C28&amp;G$14,'Gas Useage'!$C$2:$AB$2&amp;'Gas Useage'!$C$3:$AB$3,'Gas Useage'!$C$4:$AB$15))/_xlfn.XLOOKUP($B28&amp;G$15,'Gas Useage'!$A$4:$A$15&amp;'Gas Useage'!$B$4:$B$15,_xlfn.XLOOKUP(G$14,'Gas Useage'!$AA$3:$AB$3,'Gas Useage'!$AA$4:$AB$15))</f>
        <v>1.6272210127400567E-3</v>
      </c>
      <c r="H28" s="260" t="s">
        <v>278</v>
      </c>
      <c r="I28" s="260" t="s">
        <v>278</v>
      </c>
      <c r="J28" s="260" t="s">
        <v>278</v>
      </c>
      <c r="K28" s="261" t="s">
        <v>278</v>
      </c>
      <c r="N28" s="258"/>
    </row>
    <row r="29" spans="2:14" ht="13.5" x14ac:dyDescent="0.25">
      <c r="B29" s="32">
        <v>2021</v>
      </c>
      <c r="C29" s="494" t="s">
        <v>279</v>
      </c>
      <c r="D29" s="259" cm="1">
        <f t="array" aca="1" ref="D29" ca="1">_xlfn.XLOOKUP(D$13,INDIRECT("'"&amp;$B29&amp;" EI'!$B$6:$B$53"),_xlfn.XLOOKUP($C$10,INDIRECT("'"&amp;$B29&amp;" EI'!$D$4:$Z$4"),INDIRECT("'"&amp;$B29&amp;" EI'!$D$6:$Z$53")))*_xlfn.XLOOKUP($B29&amp;D$15,'Gas Useage'!$A$4:$A$15&amp;'Gas Useage'!$B$4:$B$15,_xlfn.XLOOKUP($C29&amp;D$14,'Gas Useage'!$C$2:$AB$2&amp;'Gas Useage'!$C$3:$AB$3,'Gas Useage'!$C$4:$AB$15))/_xlfn.XLOOKUP($B29&amp;D$15,'Gas Useage'!$A$4:$A$15&amp;'Gas Useage'!$B$4:$B$15,_xlfn.XLOOKUP(D$14,'Gas Useage'!$AA$3:$AB$3,'Gas Useage'!$AA$4:$AB$15))</f>
        <v>1.2648727102129466E-3</v>
      </c>
      <c r="E29" s="259" cm="1">
        <f t="array" aca="1" ref="E29" ca="1">_xlfn.XLOOKUP(E$13,INDIRECT("'"&amp;$B29&amp;" EI'!$B$6:$B$53"),_xlfn.XLOOKUP($C$10,INDIRECT("'"&amp;$B29&amp;" EI'!$D$4:$Z$4"),INDIRECT("'"&amp;$B29&amp;" EI'!$D$6:$Z$53")))*_xlfn.XLOOKUP($B29&amp;E$15,'Gas Useage'!$A$4:$A$15&amp;'Gas Useage'!$B$4:$B$15,_xlfn.XLOOKUP($C29&amp;E$14,'Gas Useage'!$C$2:$AB$2&amp;'Gas Useage'!$C$3:$AB$3,'Gas Useage'!$C$4:$AB$15))/_xlfn.XLOOKUP($B29&amp;E$15,'Gas Useage'!$A$4:$A$15&amp;'Gas Useage'!$B$4:$B$15,_xlfn.XLOOKUP(E$14,'Gas Useage'!$AA$3:$AB$3,'Gas Useage'!$AA$4:$AB$15))</f>
        <v>1.9004958406399664E-3</v>
      </c>
      <c r="F29" s="259" cm="1">
        <f t="array" aca="1" ref="F29" ca="1">_xlfn.XLOOKUP(F$13,INDIRECT("'"&amp;$B29&amp;" EI'!$B$6:$B$53"),_xlfn.XLOOKUP($C$10,INDIRECT("'"&amp;$B29&amp;" EI'!$D$4:$Z$4"),INDIRECT("'"&amp;$B29&amp;" EI'!$D$6:$Z$53")))*_xlfn.XLOOKUP($B29&amp;F$15,'Gas Useage'!$A$4:$A$15&amp;'Gas Useage'!$B$4:$B$15,_xlfn.XLOOKUP($C29&amp;F$14,'Gas Useage'!$C$2:$AB$2&amp;'Gas Useage'!$C$3:$AB$3,'Gas Useage'!$C$4:$AB$15))/_xlfn.XLOOKUP($B29&amp;F$15,'Gas Useage'!$A$4:$A$15&amp;'Gas Useage'!$B$4:$B$15,_xlfn.XLOOKUP(F$14,'Gas Useage'!$AA$3:$AB$3,'Gas Useage'!$AA$4:$AB$15))</f>
        <v>1.7343556092671245E-3</v>
      </c>
      <c r="G29" s="259" cm="1">
        <f t="array" aca="1" ref="G29" ca="1">_xlfn.XLOOKUP(G$13,INDIRECT("'"&amp;$B29&amp;" EI'!$B$6:$B$53"),_xlfn.XLOOKUP($C$10,INDIRECT("'"&amp;$B29&amp;" EI'!$D$4:$Z$4"),INDIRECT("'"&amp;$B29&amp;" EI'!$D$6:$Z$53")))*_xlfn.XLOOKUP($B29&amp;G$15,'Gas Useage'!$A$4:$A$15&amp;'Gas Useage'!$B$4:$B$15,_xlfn.XLOOKUP($C29&amp;G$14,'Gas Useage'!$C$2:$AB$2&amp;'Gas Useage'!$C$3:$AB$3,'Gas Useage'!$C$4:$AB$15))/_xlfn.XLOOKUP($B29&amp;G$15,'Gas Useage'!$A$4:$A$15&amp;'Gas Useage'!$B$4:$B$15,_xlfn.XLOOKUP(G$14,'Gas Useage'!$AA$3:$AB$3,'Gas Useage'!$AA$4:$AB$15))</f>
        <v>2.605903024856822E-3</v>
      </c>
      <c r="H29" s="260" t="s">
        <v>278</v>
      </c>
      <c r="I29" s="260" t="s">
        <v>278</v>
      </c>
      <c r="J29" s="260" t="s">
        <v>278</v>
      </c>
      <c r="K29" s="261" t="s">
        <v>278</v>
      </c>
      <c r="N29" s="258"/>
    </row>
    <row r="30" spans="2:14" ht="13.5" x14ac:dyDescent="0.25">
      <c r="B30" s="32">
        <v>2021</v>
      </c>
      <c r="C30" s="494" t="s">
        <v>280</v>
      </c>
      <c r="D30" s="259" cm="1">
        <f t="array" aca="1" ref="D30" ca="1">_xlfn.XLOOKUP(D$13,INDIRECT("'"&amp;$B30&amp;" EI'!$B$6:$B$53"),_xlfn.XLOOKUP($C$10,INDIRECT("'"&amp;$B30&amp;" EI'!$D$4:$Z$4"),INDIRECT("'"&amp;$B30&amp;" EI'!$D$6:$Z$53")))*_xlfn.XLOOKUP($B30&amp;D$15,'Gas Useage'!$A$4:$A$15&amp;'Gas Useage'!$B$4:$B$15,_xlfn.XLOOKUP($C30&amp;D$14,'Gas Useage'!$C$2:$AB$2&amp;'Gas Useage'!$C$3:$AB$3,'Gas Useage'!$C$4:$AB$15))/_xlfn.XLOOKUP($B30&amp;D$15,'Gas Useage'!$A$4:$A$15&amp;'Gas Useage'!$B$4:$B$15,_xlfn.XLOOKUP(D$14,'Gas Useage'!$AA$3:$AB$3,'Gas Useage'!$AA$4:$AB$15))</f>
        <v>2.6438370955564755E-3</v>
      </c>
      <c r="E30" s="259" cm="1">
        <f t="array" aca="1" ref="E30" ca="1">_xlfn.XLOOKUP(E$13,INDIRECT("'"&amp;$B30&amp;" EI'!$B$6:$B$53"),_xlfn.XLOOKUP($C$10,INDIRECT("'"&amp;$B30&amp;" EI'!$D$4:$Z$4"),INDIRECT("'"&amp;$B30&amp;" EI'!$D$6:$Z$53")))*_xlfn.XLOOKUP($B30&amp;E$15,'Gas Useage'!$A$4:$A$15&amp;'Gas Useage'!$B$4:$B$15,_xlfn.XLOOKUP($C30&amp;E$14,'Gas Useage'!$C$2:$AB$2&amp;'Gas Useage'!$C$3:$AB$3,'Gas Useage'!$C$4:$AB$15))/_xlfn.XLOOKUP($B30&amp;E$15,'Gas Useage'!$A$4:$A$15&amp;'Gas Useage'!$B$4:$B$15,_xlfn.XLOOKUP(E$14,'Gas Useage'!$AA$3:$AB$3,'Gas Useage'!$AA$4:$AB$15))</f>
        <v>3.105846615458058E-3</v>
      </c>
      <c r="F30" s="259" cm="1">
        <f t="array" aca="1" ref="F30" ca="1">_xlfn.XLOOKUP(F$13,INDIRECT("'"&amp;$B30&amp;" EI'!$B$6:$B$53"),_xlfn.XLOOKUP($C$10,INDIRECT("'"&amp;$B30&amp;" EI'!$D$4:$Z$4"),INDIRECT("'"&amp;$B30&amp;" EI'!$D$6:$Z$53")))*_xlfn.XLOOKUP($B30&amp;F$15,'Gas Useage'!$A$4:$A$15&amp;'Gas Useage'!$B$4:$B$15,_xlfn.XLOOKUP($C30&amp;F$14,'Gas Useage'!$C$2:$AB$2&amp;'Gas Useage'!$C$3:$AB$3,'Gas Useage'!$C$4:$AB$15))/_xlfn.XLOOKUP($B30&amp;F$15,'Gas Useage'!$A$4:$A$15&amp;'Gas Useage'!$B$4:$B$15,_xlfn.XLOOKUP(F$14,'Gas Useage'!$AA$3:$AB$3,'Gas Useage'!$AA$4:$AB$15))</f>
        <v>1.8270200118404214E-3</v>
      </c>
      <c r="G30" s="259" cm="1">
        <f t="array" aca="1" ref="G30" ca="1">_xlfn.XLOOKUP(G$13,INDIRECT("'"&amp;$B30&amp;" EI'!$B$6:$B$53"),_xlfn.XLOOKUP($C$10,INDIRECT("'"&amp;$B30&amp;" EI'!$D$4:$Z$4"),INDIRECT("'"&amp;$B30&amp;" EI'!$D$6:$Z$53")))*_xlfn.XLOOKUP($B30&amp;G$15,'Gas Useage'!$A$4:$A$15&amp;'Gas Useage'!$B$4:$B$15,_xlfn.XLOOKUP($C30&amp;G$14,'Gas Useage'!$C$2:$AB$2&amp;'Gas Useage'!$C$3:$AB$3,'Gas Useage'!$C$4:$AB$15))/_xlfn.XLOOKUP($B30&amp;G$15,'Gas Useage'!$A$4:$A$15&amp;'Gas Useage'!$B$4:$B$15,_xlfn.XLOOKUP(G$14,'Gas Useage'!$AA$3:$AB$3,'Gas Useage'!$AA$4:$AB$15))</f>
        <v>2.1462910591903751E-3</v>
      </c>
      <c r="H30" s="260" t="s">
        <v>278</v>
      </c>
      <c r="I30" s="260" t="s">
        <v>278</v>
      </c>
      <c r="J30" s="260" t="s">
        <v>278</v>
      </c>
      <c r="K30" s="261" t="s">
        <v>278</v>
      </c>
      <c r="N30" s="258"/>
    </row>
    <row r="31" spans="2:14" ht="13.5" x14ac:dyDescent="0.25">
      <c r="B31" s="32">
        <v>2021</v>
      </c>
      <c r="C31" s="494" t="s">
        <v>281</v>
      </c>
      <c r="D31" s="259" cm="1">
        <f t="array" aca="1" ref="D31" ca="1">_xlfn.XLOOKUP(D$13,INDIRECT("'"&amp;$B31&amp;" EI'!$B$6:$B$53"),_xlfn.XLOOKUP($C$10,INDIRECT("'"&amp;$B31&amp;" EI'!$D$4:$Z$4"),INDIRECT("'"&amp;$B31&amp;" EI'!$D$6:$Z$53")))*_xlfn.XLOOKUP($B31&amp;D$15,'Gas Useage'!$A$4:$A$15&amp;'Gas Useage'!$B$4:$B$15,_xlfn.XLOOKUP($C31&amp;D$14,'Gas Useage'!$C$2:$AB$2&amp;'Gas Useage'!$C$3:$AB$3,'Gas Useage'!$C$4:$AB$15))/_xlfn.XLOOKUP($B31&amp;D$15,'Gas Useage'!$A$4:$A$15&amp;'Gas Useage'!$B$4:$B$15,_xlfn.XLOOKUP(D$14,'Gas Useage'!$AA$3:$AB$3,'Gas Useage'!$AA$4:$AB$15))</f>
        <v>1.1864596688337668E-3</v>
      </c>
      <c r="E31" s="259" cm="1">
        <f t="array" aca="1" ref="E31" ca="1">_xlfn.XLOOKUP(E$13,INDIRECT("'"&amp;$B31&amp;" EI'!$B$6:$B$53"),_xlfn.XLOOKUP($C$10,INDIRECT("'"&amp;$B31&amp;" EI'!$D$4:$Z$4"),INDIRECT("'"&amp;$B31&amp;" EI'!$D$6:$Z$53")))*_xlfn.XLOOKUP($B31&amp;E$15,'Gas Useage'!$A$4:$A$15&amp;'Gas Useage'!$B$4:$B$15,_xlfn.XLOOKUP($C31&amp;E$14,'Gas Useage'!$C$2:$AB$2&amp;'Gas Useage'!$C$3:$AB$3,'Gas Useage'!$C$4:$AB$15))/_xlfn.XLOOKUP($B31&amp;E$15,'Gas Useage'!$A$4:$A$15&amp;'Gas Useage'!$B$4:$B$15,_xlfn.XLOOKUP(E$14,'Gas Useage'!$AA$3:$AB$3,'Gas Useage'!$AA$4:$AB$15))</f>
        <v>1.140960231583998E-3</v>
      </c>
      <c r="F31" s="259" cm="1">
        <f t="array" aca="1" ref="F31" ca="1">_xlfn.XLOOKUP(F$13,INDIRECT("'"&amp;$B31&amp;" EI'!$B$6:$B$53"),_xlfn.XLOOKUP($C$10,INDIRECT("'"&amp;$B31&amp;" EI'!$D$4:$Z$4"),INDIRECT("'"&amp;$B31&amp;" EI'!$D$6:$Z$53")))*_xlfn.XLOOKUP($B31&amp;F$15,'Gas Useage'!$A$4:$A$15&amp;'Gas Useage'!$B$4:$B$15,_xlfn.XLOOKUP($C31&amp;F$14,'Gas Useage'!$C$2:$AB$2&amp;'Gas Useage'!$C$3:$AB$3,'Gas Useage'!$C$4:$AB$15))/_xlfn.XLOOKUP($B31&amp;F$15,'Gas Useage'!$A$4:$A$15&amp;'Gas Useage'!$B$4:$B$15,_xlfn.XLOOKUP(F$14,'Gas Useage'!$AA$3:$AB$3,'Gas Useage'!$AA$4:$AB$15))</f>
        <v>1.736968000447156E-3</v>
      </c>
      <c r="G31" s="259" cm="1">
        <f t="array" aca="1" ref="G31" ca="1">_xlfn.XLOOKUP(G$13,INDIRECT("'"&amp;$B31&amp;" EI'!$B$6:$B$53"),_xlfn.XLOOKUP($C$10,INDIRECT("'"&amp;$B31&amp;" EI'!$D$4:$Z$4"),INDIRECT("'"&amp;$B31&amp;" EI'!$D$6:$Z$53")))*_xlfn.XLOOKUP($B31&amp;G$15,'Gas Useage'!$A$4:$A$15&amp;'Gas Useage'!$B$4:$B$15,_xlfn.XLOOKUP($C31&amp;G$14,'Gas Useage'!$C$2:$AB$2&amp;'Gas Useage'!$C$3:$AB$3,'Gas Useage'!$C$4:$AB$15))/_xlfn.XLOOKUP($B31&amp;G$15,'Gas Useage'!$A$4:$A$15&amp;'Gas Useage'!$B$4:$B$15,_xlfn.XLOOKUP(G$14,'Gas Useage'!$AA$3:$AB$3,'Gas Useage'!$AA$4:$AB$15))</f>
        <v>1.6703571677174726E-3</v>
      </c>
      <c r="H31" s="260" t="s">
        <v>278</v>
      </c>
      <c r="I31" s="260" t="s">
        <v>278</v>
      </c>
      <c r="J31" s="260" t="s">
        <v>278</v>
      </c>
      <c r="K31" s="261" t="s">
        <v>278</v>
      </c>
      <c r="N31" s="258"/>
    </row>
    <row r="32" spans="2:14" ht="13.5" x14ac:dyDescent="0.25">
      <c r="B32" s="32">
        <v>2021</v>
      </c>
      <c r="C32" s="494" t="s">
        <v>282</v>
      </c>
      <c r="D32" s="259" cm="1">
        <f t="array" aca="1" ref="D32" ca="1">_xlfn.XLOOKUP(D$13,INDIRECT("'"&amp;$B32&amp;" EI'!$B$6:$B$53"),_xlfn.XLOOKUP($C$10,INDIRECT("'"&amp;$B32&amp;" EI'!$D$4:$Z$4"),INDIRECT("'"&amp;$B32&amp;" EI'!$D$6:$Z$53")))*_xlfn.XLOOKUP($B32&amp;D$15,'Gas Useage'!$A$4:$A$15&amp;'Gas Useage'!$B$4:$B$15,_xlfn.XLOOKUP($C32&amp;D$14,'Gas Useage'!$C$2:$AB$2&amp;'Gas Useage'!$C$3:$AB$3,'Gas Useage'!$C$4:$AB$15))/_xlfn.XLOOKUP($B32&amp;D$15,'Gas Useage'!$A$4:$A$15&amp;'Gas Useage'!$B$4:$B$15,_xlfn.XLOOKUP(D$14,'Gas Useage'!$AA$3:$AB$3,'Gas Useage'!$AA$4:$AB$15))</f>
        <v>8.6645844156675112E-4</v>
      </c>
      <c r="E32" s="259" cm="1">
        <f t="array" aca="1" ref="E32" ca="1">_xlfn.XLOOKUP(E$13,INDIRECT("'"&amp;$B32&amp;" EI'!$B$6:$B$53"),_xlfn.XLOOKUP($C$10,INDIRECT("'"&amp;$B32&amp;" EI'!$D$4:$Z$4"),INDIRECT("'"&amp;$B32&amp;" EI'!$D$6:$Z$53")))*_xlfn.XLOOKUP($B32&amp;E$15,'Gas Useage'!$A$4:$A$15&amp;'Gas Useage'!$B$4:$B$15,_xlfn.XLOOKUP($C32&amp;E$14,'Gas Useage'!$C$2:$AB$2&amp;'Gas Useage'!$C$3:$AB$3,'Gas Useage'!$C$4:$AB$15))/_xlfn.XLOOKUP($B32&amp;E$15,'Gas Useage'!$A$4:$A$15&amp;'Gas Useage'!$B$4:$B$15,_xlfn.XLOOKUP(E$14,'Gas Useage'!$AA$3:$AB$3,'Gas Useage'!$AA$4:$AB$15))</f>
        <v>7.5050532472810221E-4</v>
      </c>
      <c r="F32" s="259" cm="1">
        <f t="array" aca="1" ref="F32" ca="1">_xlfn.XLOOKUP(F$13,INDIRECT("'"&amp;$B32&amp;" EI'!$B$6:$B$53"),_xlfn.XLOOKUP($C$10,INDIRECT("'"&amp;$B32&amp;" EI'!$D$4:$Z$4"),INDIRECT("'"&amp;$B32&amp;" EI'!$D$6:$Z$53")))*_xlfn.XLOOKUP($B32&amp;F$15,'Gas Useage'!$A$4:$A$15&amp;'Gas Useage'!$B$4:$B$15,_xlfn.XLOOKUP($C32&amp;F$14,'Gas Useage'!$C$2:$AB$2&amp;'Gas Useage'!$C$3:$AB$3,'Gas Useage'!$C$4:$AB$15))/_xlfn.XLOOKUP($B32&amp;F$15,'Gas Useage'!$A$4:$A$15&amp;'Gas Useage'!$B$4:$B$15,_xlfn.XLOOKUP(F$14,'Gas Useage'!$AA$3:$AB$3,'Gas Useage'!$AA$4:$AB$15))</f>
        <v>1.6716656929917869E-3</v>
      </c>
      <c r="G32" s="259" cm="1">
        <f t="array" aca="1" ref="G32" ca="1">_xlfn.XLOOKUP(G$13,INDIRECT("'"&amp;$B32&amp;" EI'!$B$6:$B$53"),_xlfn.XLOOKUP($C$10,INDIRECT("'"&amp;$B32&amp;" EI'!$D$4:$Z$4"),INDIRECT("'"&amp;$B32&amp;" EI'!$D$6:$Z$53")))*_xlfn.XLOOKUP($B32&amp;G$15,'Gas Useage'!$A$4:$A$15&amp;'Gas Useage'!$B$4:$B$15,_xlfn.XLOOKUP($C32&amp;G$14,'Gas Useage'!$C$2:$AB$2&amp;'Gas Useage'!$C$3:$AB$3,'Gas Useage'!$C$4:$AB$15))/_xlfn.XLOOKUP($B32&amp;G$15,'Gas Useage'!$A$4:$A$15&amp;'Gas Useage'!$B$4:$B$15,_xlfn.XLOOKUP(G$14,'Gas Useage'!$AA$3:$AB$3,'Gas Useage'!$AA$4:$AB$15))</f>
        <v>1.4479563514749095E-3</v>
      </c>
      <c r="H32" s="260" t="s">
        <v>278</v>
      </c>
      <c r="I32" s="260" t="s">
        <v>278</v>
      </c>
      <c r="J32" s="260" t="s">
        <v>278</v>
      </c>
      <c r="K32" s="261" t="s">
        <v>278</v>
      </c>
      <c r="N32" s="258"/>
    </row>
    <row r="33" spans="2:14" ht="13.5" x14ac:dyDescent="0.25">
      <c r="B33" s="32">
        <v>2021</v>
      </c>
      <c r="C33" s="494" t="s">
        <v>283</v>
      </c>
      <c r="D33" s="259" cm="1">
        <f t="array" aca="1" ref="D33" ca="1">_xlfn.XLOOKUP(D$13,INDIRECT("'"&amp;$B33&amp;" EI'!$B$6:$B$53"),_xlfn.XLOOKUP($C$10,INDIRECT("'"&amp;$B33&amp;" EI'!$D$4:$Z$4"),INDIRECT("'"&amp;$B33&amp;" EI'!$D$6:$Z$53")))*_xlfn.XLOOKUP($B33&amp;D$15,'Gas Useage'!$A$4:$A$15&amp;'Gas Useage'!$B$4:$B$15,_xlfn.XLOOKUP($C33&amp;D$14,'Gas Useage'!$C$2:$AB$2&amp;'Gas Useage'!$C$3:$AB$3,'Gas Useage'!$C$4:$AB$15))/_xlfn.XLOOKUP($B33&amp;D$15,'Gas Useage'!$A$4:$A$15&amp;'Gas Useage'!$B$4:$B$15,_xlfn.XLOOKUP(D$14,'Gas Useage'!$AA$3:$AB$3,'Gas Useage'!$AA$4:$AB$15))</f>
        <v>3.9328886079412304E-4</v>
      </c>
      <c r="E33" s="259" cm="1">
        <f t="array" aca="1" ref="E33" ca="1">_xlfn.XLOOKUP(E$13,INDIRECT("'"&amp;$B33&amp;" EI'!$B$6:$B$53"),_xlfn.XLOOKUP($C$10,INDIRECT("'"&amp;$B33&amp;" EI'!$D$4:$Z$4"),INDIRECT("'"&amp;$B33&amp;" EI'!$D$6:$Z$53")))*_xlfn.XLOOKUP($B33&amp;E$15,'Gas Useage'!$A$4:$A$15&amp;'Gas Useage'!$B$4:$B$15,_xlfn.XLOOKUP($C33&amp;E$14,'Gas Useage'!$C$2:$AB$2&amp;'Gas Useage'!$C$3:$AB$3,'Gas Useage'!$C$4:$AB$15))/_xlfn.XLOOKUP($B33&amp;E$15,'Gas Useage'!$A$4:$A$15&amp;'Gas Useage'!$B$4:$B$15,_xlfn.XLOOKUP(E$14,'Gas Useage'!$AA$3:$AB$3,'Gas Useage'!$AA$4:$AB$15))</f>
        <v>2.5872454076204305E-4</v>
      </c>
      <c r="F33" s="259" cm="1">
        <f t="array" aca="1" ref="F33" ca="1">_xlfn.XLOOKUP(F$13,INDIRECT("'"&amp;$B33&amp;" EI'!$B$6:$B$53"),_xlfn.XLOOKUP($C$10,INDIRECT("'"&amp;$B33&amp;" EI'!$D$4:$Z$4"),INDIRECT("'"&amp;$B33&amp;" EI'!$D$6:$Z$53")))*_xlfn.XLOOKUP($B33&amp;F$15,'Gas Useage'!$A$4:$A$15&amp;'Gas Useage'!$B$4:$B$15,_xlfn.XLOOKUP($C33&amp;F$14,'Gas Useage'!$C$2:$AB$2&amp;'Gas Useage'!$C$3:$AB$3,'Gas Useage'!$C$4:$AB$15))/_xlfn.XLOOKUP($B33&amp;F$15,'Gas Useage'!$A$4:$A$15&amp;'Gas Useage'!$B$4:$B$15,_xlfn.XLOOKUP(F$14,'Gas Useage'!$AA$3:$AB$3,'Gas Useage'!$AA$4:$AB$15))</f>
        <v>7.9675954728932906E-4</v>
      </c>
      <c r="G33" s="259" cm="1">
        <f t="array" aca="1" ref="G33" ca="1">_xlfn.XLOOKUP(G$13,INDIRECT("'"&amp;$B33&amp;" EI'!$B$6:$B$53"),_xlfn.XLOOKUP($C$10,INDIRECT("'"&amp;$B33&amp;" EI'!$D$4:$Z$4"),INDIRECT("'"&amp;$B33&amp;" EI'!$D$6:$Z$53")))*_xlfn.XLOOKUP($B33&amp;G$15,'Gas Useage'!$A$4:$A$15&amp;'Gas Useage'!$B$4:$B$15,_xlfn.XLOOKUP($C33&amp;G$14,'Gas Useage'!$C$2:$AB$2&amp;'Gas Useage'!$C$3:$AB$3,'Gas Useage'!$C$4:$AB$15))/_xlfn.XLOOKUP($B33&amp;G$15,'Gas Useage'!$A$4:$A$15&amp;'Gas Useage'!$B$4:$B$15,_xlfn.XLOOKUP(G$14,'Gas Useage'!$AA$3:$AB$3,'Gas Useage'!$AA$4:$AB$15))</f>
        <v>5.2414718167701879E-4</v>
      </c>
      <c r="H33" s="260" t="s">
        <v>278</v>
      </c>
      <c r="I33" s="260" t="s">
        <v>278</v>
      </c>
      <c r="J33" s="260" t="s">
        <v>278</v>
      </c>
      <c r="K33" s="261" t="s">
        <v>278</v>
      </c>
      <c r="N33" s="258"/>
    </row>
    <row r="34" spans="2:14" ht="13.5" x14ac:dyDescent="0.25">
      <c r="B34" s="32">
        <v>2021</v>
      </c>
      <c r="C34" s="494" t="s">
        <v>284</v>
      </c>
      <c r="D34" s="259" cm="1">
        <f t="array" aca="1" ref="D34" ca="1">_xlfn.XLOOKUP(D$13,INDIRECT("'"&amp;$B34&amp;" EI'!$B$6:$B$53"),_xlfn.XLOOKUP($C$10,INDIRECT("'"&amp;$B34&amp;" EI'!$D$4:$Z$4"),INDIRECT("'"&amp;$B34&amp;" EI'!$D$6:$Z$53")))*_xlfn.XLOOKUP($B34&amp;D$15,'Gas Useage'!$A$4:$A$15&amp;'Gas Useage'!$B$4:$B$15,_xlfn.XLOOKUP($C34&amp;D$14,'Gas Useage'!$C$2:$AB$2&amp;'Gas Useage'!$C$3:$AB$3,'Gas Useage'!$C$4:$AB$15))/_xlfn.XLOOKUP($B34&amp;D$15,'Gas Useage'!$A$4:$A$15&amp;'Gas Useage'!$B$4:$B$15,_xlfn.XLOOKUP(D$14,'Gas Useage'!$AA$3:$AB$3,'Gas Useage'!$AA$4:$AB$15))</f>
        <v>8.7936528953031943E-4</v>
      </c>
      <c r="E34" s="259" cm="1">
        <f t="array" aca="1" ref="E34" ca="1">_xlfn.XLOOKUP(E$13,INDIRECT("'"&amp;$B34&amp;" EI'!$B$6:$B$53"),_xlfn.XLOOKUP($C$10,INDIRECT("'"&amp;$B34&amp;" EI'!$D$4:$Z$4"),INDIRECT("'"&amp;$B34&amp;" EI'!$D$6:$Z$53")))*_xlfn.XLOOKUP($B34&amp;E$15,'Gas Useage'!$A$4:$A$15&amp;'Gas Useage'!$B$4:$B$15,_xlfn.XLOOKUP($C34&amp;E$14,'Gas Useage'!$C$2:$AB$2&amp;'Gas Useage'!$C$3:$AB$3,'Gas Useage'!$C$4:$AB$15))/_xlfn.XLOOKUP($B34&amp;E$15,'Gas Useage'!$A$4:$A$15&amp;'Gas Useage'!$B$4:$B$15,_xlfn.XLOOKUP(E$14,'Gas Useage'!$AA$3:$AB$3,'Gas Useage'!$AA$4:$AB$15))</f>
        <v>4.3514396064963664E-4</v>
      </c>
      <c r="F34" s="259" cm="1">
        <f t="array" aca="1" ref="F34" ca="1">_xlfn.XLOOKUP(F$13,INDIRECT("'"&amp;$B34&amp;" EI'!$B$6:$B$53"),_xlfn.XLOOKUP($C$10,INDIRECT("'"&amp;$B34&amp;" EI'!$D$4:$Z$4"),INDIRECT("'"&amp;$B34&amp;" EI'!$D$6:$Z$53")))*_xlfn.XLOOKUP($B34&amp;F$15,'Gas Useage'!$A$4:$A$15&amp;'Gas Useage'!$B$4:$B$15,_xlfn.XLOOKUP($C34&amp;F$14,'Gas Useage'!$C$2:$AB$2&amp;'Gas Useage'!$C$3:$AB$3,'Gas Useage'!$C$4:$AB$15))/_xlfn.XLOOKUP($B34&amp;F$15,'Gas Useage'!$A$4:$A$15&amp;'Gas Useage'!$B$4:$B$15,_xlfn.XLOOKUP(F$14,'Gas Useage'!$AA$3:$AB$3,'Gas Useage'!$AA$4:$AB$15))</f>
        <v>9.82428109068027E-4</v>
      </c>
      <c r="G34" s="259" cm="1">
        <f t="array" aca="1" ref="G34" ca="1">_xlfn.XLOOKUP(G$13,INDIRECT("'"&amp;$B34&amp;" EI'!$B$6:$B$53"),_xlfn.XLOOKUP($C$10,INDIRECT("'"&amp;$B34&amp;" EI'!$D$4:$Z$4"),INDIRECT("'"&amp;$B34&amp;" EI'!$D$6:$Z$53")))*_xlfn.XLOOKUP($B34&amp;G$15,'Gas Useage'!$A$4:$A$15&amp;'Gas Useage'!$B$4:$B$15,_xlfn.XLOOKUP($C34&amp;G$14,'Gas Useage'!$C$2:$AB$2&amp;'Gas Useage'!$C$3:$AB$3,'Gas Useage'!$C$4:$AB$15))/_xlfn.XLOOKUP($B34&amp;G$15,'Gas Useage'!$A$4:$A$15&amp;'Gas Useage'!$B$4:$B$15,_xlfn.XLOOKUP(G$14,'Gas Useage'!$AA$3:$AB$3,'Gas Useage'!$AA$4:$AB$15))</f>
        <v>4.861434304073187E-4</v>
      </c>
      <c r="H34" s="260" t="s">
        <v>278</v>
      </c>
      <c r="I34" s="260" t="s">
        <v>278</v>
      </c>
      <c r="J34" s="260" t="s">
        <v>278</v>
      </c>
      <c r="K34" s="261" t="s">
        <v>278</v>
      </c>
      <c r="N34" s="258"/>
    </row>
    <row r="35" spans="2:14" ht="13.5" x14ac:dyDescent="0.25">
      <c r="B35" s="32">
        <v>2021</v>
      </c>
      <c r="C35" s="494" t="s">
        <v>285</v>
      </c>
      <c r="D35" s="259" cm="1">
        <f t="array" aca="1" ref="D35" ca="1">_xlfn.XLOOKUP(D$13,INDIRECT("'"&amp;$B35&amp;" EI'!$B$6:$B$53"),_xlfn.XLOOKUP($C$10,INDIRECT("'"&amp;$B35&amp;" EI'!$D$4:$Z$4"),INDIRECT("'"&amp;$B35&amp;" EI'!$D$6:$Z$53")))*_xlfn.XLOOKUP($B35&amp;D$15,'Gas Useage'!$A$4:$A$15&amp;'Gas Useage'!$B$4:$B$15,_xlfn.XLOOKUP($C35&amp;D$14,'Gas Useage'!$C$2:$AB$2&amp;'Gas Useage'!$C$3:$AB$3,'Gas Useage'!$C$4:$AB$15))/_xlfn.XLOOKUP($B35&amp;D$15,'Gas Useage'!$A$4:$A$15&amp;'Gas Useage'!$B$4:$B$15,_xlfn.XLOOKUP(D$14,'Gas Useage'!$AA$3:$AB$3,'Gas Useage'!$AA$4:$AB$15))</f>
        <v>1.0601684512165665E-3</v>
      </c>
      <c r="E35" s="259" cm="1">
        <f t="array" aca="1" ref="E35" ca="1">_xlfn.XLOOKUP(E$13,INDIRECT("'"&amp;$B35&amp;" EI'!$B$6:$B$53"),_xlfn.XLOOKUP($C$10,INDIRECT("'"&amp;$B35&amp;" EI'!$D$4:$Z$4"),INDIRECT("'"&amp;$B35&amp;" EI'!$D$6:$Z$53")))*_xlfn.XLOOKUP($B35&amp;E$15,'Gas Useage'!$A$4:$A$15&amp;'Gas Useage'!$B$4:$B$15,_xlfn.XLOOKUP($C35&amp;E$14,'Gas Useage'!$C$2:$AB$2&amp;'Gas Useage'!$C$3:$AB$3,'Gas Useage'!$C$4:$AB$15))/_xlfn.XLOOKUP($B35&amp;E$15,'Gas Useage'!$A$4:$A$15&amp;'Gas Useage'!$B$4:$B$15,_xlfn.XLOOKUP(E$14,'Gas Useage'!$AA$3:$AB$3,'Gas Useage'!$AA$4:$AB$15))</f>
        <v>1.454682397144004E-3</v>
      </c>
      <c r="F35" s="259" cm="1">
        <f t="array" aca="1" ref="F35" ca="1">_xlfn.XLOOKUP(F$13,INDIRECT("'"&amp;$B35&amp;" EI'!$B$6:$B$53"),_xlfn.XLOOKUP($C$10,INDIRECT("'"&amp;$B35&amp;" EI'!$D$4:$Z$4"),INDIRECT("'"&amp;$B35&amp;" EI'!$D$6:$Z$53")))*_xlfn.XLOOKUP($B35&amp;F$15,'Gas Useage'!$A$4:$A$15&amp;'Gas Useage'!$B$4:$B$15,_xlfn.XLOOKUP($C35&amp;F$14,'Gas Useage'!$C$2:$AB$2&amp;'Gas Useage'!$C$3:$AB$3,'Gas Useage'!$C$4:$AB$15))/_xlfn.XLOOKUP($B35&amp;F$15,'Gas Useage'!$A$4:$A$15&amp;'Gas Useage'!$B$4:$B$15,_xlfn.XLOOKUP(F$14,'Gas Useage'!$AA$3:$AB$3,'Gas Useage'!$AA$4:$AB$15))</f>
        <v>9.0418224618627786E-4</v>
      </c>
      <c r="G35" s="259" cm="1">
        <f t="array" aca="1" ref="G35" ca="1">_xlfn.XLOOKUP(G$13,INDIRECT("'"&amp;$B35&amp;" EI'!$B$6:$B$53"),_xlfn.XLOOKUP($C$10,INDIRECT("'"&amp;$B35&amp;" EI'!$D$4:$Z$4"),INDIRECT("'"&amp;$B35&amp;" EI'!$D$6:$Z$53")))*_xlfn.XLOOKUP($B35&amp;G$15,'Gas Useage'!$A$4:$A$15&amp;'Gas Useage'!$B$4:$B$15,_xlfn.XLOOKUP($C35&amp;G$14,'Gas Useage'!$C$2:$AB$2&amp;'Gas Useage'!$C$3:$AB$3,'Gas Useage'!$C$4:$AB$15))/_xlfn.XLOOKUP($B35&amp;G$15,'Gas Useage'!$A$4:$A$15&amp;'Gas Useage'!$B$4:$B$15,_xlfn.XLOOKUP(G$14,'Gas Useage'!$AA$3:$AB$3,'Gas Useage'!$AA$4:$AB$15))</f>
        <v>1.2406500078624026E-3</v>
      </c>
      <c r="H35" s="260" t="s">
        <v>278</v>
      </c>
      <c r="I35" s="260" t="s">
        <v>278</v>
      </c>
      <c r="J35" s="260" t="s">
        <v>278</v>
      </c>
      <c r="K35" s="261" t="s">
        <v>278</v>
      </c>
      <c r="N35" s="258"/>
    </row>
    <row r="36" spans="2:14" ht="13.5" x14ac:dyDescent="0.25">
      <c r="B36" s="32">
        <v>2021</v>
      </c>
      <c r="C36" s="494" t="s">
        <v>286</v>
      </c>
      <c r="D36" s="259" cm="1">
        <f t="array" aca="1" ref="D36" ca="1">_xlfn.XLOOKUP(D$13,INDIRECT("'"&amp;$B36&amp;" EI'!$B$6:$B$53"),_xlfn.XLOOKUP($C$10,INDIRECT("'"&amp;$B36&amp;" EI'!$D$4:$Z$4"),INDIRECT("'"&amp;$B36&amp;" EI'!$D$6:$Z$53")))*_xlfn.XLOOKUP($B36&amp;D$15,'Gas Useage'!$A$4:$A$15&amp;'Gas Useage'!$B$4:$B$15,_xlfn.XLOOKUP($C36&amp;D$14,'Gas Useage'!$C$2:$AB$2&amp;'Gas Useage'!$C$3:$AB$3,'Gas Useage'!$C$4:$AB$15))/_xlfn.XLOOKUP($B36&amp;D$15,'Gas Useage'!$A$4:$A$15&amp;'Gas Useage'!$B$4:$B$15,_xlfn.XLOOKUP(D$14,'Gas Useage'!$AA$3:$AB$3,'Gas Useage'!$AA$4:$AB$15))</f>
        <v>6.3433385848421552E-4</v>
      </c>
      <c r="E36" s="259" cm="1">
        <f t="array" aca="1" ref="E36" ca="1">_xlfn.XLOOKUP(E$13,INDIRECT("'"&amp;$B36&amp;" EI'!$B$6:$B$53"),_xlfn.XLOOKUP($C$10,INDIRECT("'"&amp;$B36&amp;" EI'!$D$4:$Z$4"),INDIRECT("'"&amp;$B36&amp;" EI'!$D$6:$Z$53")))*_xlfn.XLOOKUP($B36&amp;E$15,'Gas Useage'!$A$4:$A$15&amp;'Gas Useage'!$B$4:$B$15,_xlfn.XLOOKUP($C36&amp;E$14,'Gas Useage'!$C$2:$AB$2&amp;'Gas Useage'!$C$3:$AB$3,'Gas Useage'!$C$4:$AB$15))/_xlfn.XLOOKUP($B36&amp;E$15,'Gas Useage'!$A$4:$A$15&amp;'Gas Useage'!$B$4:$B$15,_xlfn.XLOOKUP(E$14,'Gas Useage'!$AA$3:$AB$3,'Gas Useage'!$AA$4:$AB$15))</f>
        <v>7.7940876881570282E-4</v>
      </c>
      <c r="F36" s="259" cm="1">
        <f t="array" aca="1" ref="F36" ca="1">_xlfn.XLOOKUP(F$13,INDIRECT("'"&amp;$B36&amp;" EI'!$B$6:$B$53"),_xlfn.XLOOKUP($C$10,INDIRECT("'"&amp;$B36&amp;" EI'!$D$4:$Z$4"),INDIRECT("'"&amp;$B36&amp;" EI'!$D$6:$Z$53")))*_xlfn.XLOOKUP($B36&amp;F$15,'Gas Useage'!$A$4:$A$15&amp;'Gas Useage'!$B$4:$B$15,_xlfn.XLOOKUP($C36&amp;F$14,'Gas Useage'!$C$2:$AB$2&amp;'Gas Useage'!$C$3:$AB$3,'Gas Useage'!$C$4:$AB$15))/_xlfn.XLOOKUP($B36&amp;F$15,'Gas Useage'!$A$4:$A$15&amp;'Gas Useage'!$B$4:$B$15,_xlfn.XLOOKUP(F$14,'Gas Useage'!$AA$3:$AB$3,'Gas Useage'!$AA$4:$AB$15))</f>
        <v>5.0522462797350986E-4</v>
      </c>
      <c r="G36" s="259" cm="1">
        <f t="array" aca="1" ref="G36" ca="1">_xlfn.XLOOKUP(G$13,INDIRECT("'"&amp;$B36&amp;" EI'!$B$6:$B$53"),_xlfn.XLOOKUP($C$10,INDIRECT("'"&amp;$B36&amp;" EI'!$D$4:$Z$4"),INDIRECT("'"&amp;$B36&amp;" EI'!$D$6:$Z$53")))*_xlfn.XLOOKUP($B36&amp;G$15,'Gas Useage'!$A$4:$A$15&amp;'Gas Useage'!$B$4:$B$15,_xlfn.XLOOKUP($C36&amp;G$14,'Gas Useage'!$C$2:$AB$2&amp;'Gas Useage'!$C$3:$AB$3,'Gas Useage'!$C$4:$AB$15))/_xlfn.XLOOKUP($B36&amp;G$15,'Gas Useage'!$A$4:$A$15&amp;'Gas Useage'!$B$4:$B$15,_xlfn.XLOOKUP(G$14,'Gas Useage'!$AA$3:$AB$3,'Gas Useage'!$AA$4:$AB$15))</f>
        <v>6.2077169616195631E-4</v>
      </c>
      <c r="H36" s="260" t="s">
        <v>278</v>
      </c>
      <c r="I36" s="260" t="s">
        <v>278</v>
      </c>
      <c r="J36" s="260" t="s">
        <v>278</v>
      </c>
      <c r="K36" s="261" t="s">
        <v>278</v>
      </c>
      <c r="N36" s="258"/>
    </row>
    <row r="37" spans="2:14" ht="13.5" x14ac:dyDescent="0.25">
      <c r="B37" s="32">
        <v>2021</v>
      </c>
      <c r="C37" s="494" t="s">
        <v>287</v>
      </c>
      <c r="D37" s="259" cm="1">
        <f t="array" aca="1" ref="D37" ca="1">_xlfn.XLOOKUP(D$13,INDIRECT("'"&amp;$B37&amp;" EI'!$B$6:$B$53"),_xlfn.XLOOKUP($C$10,INDIRECT("'"&amp;$B37&amp;" EI'!$D$4:$Z$4"),INDIRECT("'"&amp;$B37&amp;" EI'!$D$6:$Z$53")))*_xlfn.XLOOKUP($B37&amp;D$15,'Gas Useage'!$A$4:$A$15&amp;'Gas Useage'!$B$4:$B$15,_xlfn.XLOOKUP($C37&amp;D$14,'Gas Useage'!$C$2:$AB$2&amp;'Gas Useage'!$C$3:$AB$3,'Gas Useage'!$C$4:$AB$15))/_xlfn.XLOOKUP($B37&amp;D$15,'Gas Useage'!$A$4:$A$15&amp;'Gas Useage'!$B$4:$B$15,_xlfn.XLOOKUP(D$14,'Gas Useage'!$AA$3:$AB$3,'Gas Useage'!$AA$4:$AB$15))</f>
        <v>6.7779321205198978E-4</v>
      </c>
      <c r="E37" s="259" cm="1">
        <f t="array" aca="1" ref="E37" ca="1">_xlfn.XLOOKUP(E$13,INDIRECT("'"&amp;$B37&amp;" EI'!$B$6:$B$53"),_xlfn.XLOOKUP($C$10,INDIRECT("'"&amp;$B37&amp;" EI'!$D$4:$Z$4"),INDIRECT("'"&amp;$B37&amp;" EI'!$D$6:$Z$53")))*_xlfn.XLOOKUP($B37&amp;E$15,'Gas Useage'!$A$4:$A$15&amp;'Gas Useage'!$B$4:$B$15,_xlfn.XLOOKUP($C37&amp;E$14,'Gas Useage'!$C$2:$AB$2&amp;'Gas Useage'!$C$3:$AB$3,'Gas Useage'!$C$4:$AB$15))/_xlfn.XLOOKUP($B37&amp;E$15,'Gas Useage'!$A$4:$A$15&amp;'Gas Useage'!$B$4:$B$15,_xlfn.XLOOKUP(E$14,'Gas Useage'!$AA$3:$AB$3,'Gas Useage'!$AA$4:$AB$15))</f>
        <v>7.4308814219693428E-4</v>
      </c>
      <c r="F37" s="259" cm="1">
        <f t="array" aca="1" ref="F37" ca="1">_xlfn.XLOOKUP(F$13,INDIRECT("'"&amp;$B37&amp;" EI'!$B$6:$B$53"),_xlfn.XLOOKUP($C$10,INDIRECT("'"&amp;$B37&amp;" EI'!$D$4:$Z$4"),INDIRECT("'"&amp;$B37&amp;" EI'!$D$6:$Z$53")))*_xlfn.XLOOKUP($B37&amp;F$15,'Gas Useage'!$A$4:$A$15&amp;'Gas Useage'!$B$4:$B$15,_xlfn.XLOOKUP($C37&amp;F$14,'Gas Useage'!$C$2:$AB$2&amp;'Gas Useage'!$C$3:$AB$3,'Gas Useage'!$C$4:$AB$15))/_xlfn.XLOOKUP($B37&amp;F$15,'Gas Useage'!$A$4:$A$15&amp;'Gas Useage'!$B$4:$B$15,_xlfn.XLOOKUP(F$14,'Gas Useage'!$AA$3:$AB$3,'Gas Useage'!$AA$4:$AB$15))</f>
        <v>5.5197082572631647E-4</v>
      </c>
      <c r="G37" s="259" cm="1">
        <f t="array" aca="1" ref="G37" ca="1">_xlfn.XLOOKUP(G$13,INDIRECT("'"&amp;$B37&amp;" EI'!$B$6:$B$53"),_xlfn.XLOOKUP($C$10,INDIRECT("'"&amp;$B37&amp;" EI'!$D$4:$Z$4"),INDIRECT("'"&amp;$B37&amp;" EI'!$D$6:$Z$53")))*_xlfn.XLOOKUP($B37&amp;G$15,'Gas Useage'!$A$4:$A$15&amp;'Gas Useage'!$B$4:$B$15,_xlfn.XLOOKUP($C37&amp;G$14,'Gas Useage'!$C$2:$AB$2&amp;'Gas Useage'!$C$3:$AB$3,'Gas Useage'!$C$4:$AB$15))/_xlfn.XLOOKUP($B37&amp;G$15,'Gas Useage'!$A$4:$A$15&amp;'Gas Useage'!$B$4:$B$15,_xlfn.XLOOKUP(G$14,'Gas Useage'!$AA$3:$AB$3,'Gas Useage'!$AA$4:$AB$15))</f>
        <v>6.051447080653486E-4</v>
      </c>
      <c r="H37" s="260" t="s">
        <v>278</v>
      </c>
      <c r="I37" s="260" t="s">
        <v>278</v>
      </c>
      <c r="J37" s="260" t="s">
        <v>278</v>
      </c>
      <c r="K37" s="261" t="s">
        <v>278</v>
      </c>
      <c r="N37" s="258"/>
    </row>
    <row r="38" spans="2:14" ht="13.5" x14ac:dyDescent="0.25">
      <c r="B38" s="32">
        <v>2021</v>
      </c>
      <c r="C38" s="494" t="s">
        <v>288</v>
      </c>
      <c r="D38" s="259" cm="1">
        <f t="array" aca="1" ref="D38" ca="1">_xlfn.XLOOKUP(D$13,INDIRECT("'"&amp;$B38&amp;" EI'!$B$6:$B$53"),_xlfn.XLOOKUP($C$10,INDIRECT("'"&amp;$B38&amp;" EI'!$D$4:$Z$4"),INDIRECT("'"&amp;$B38&amp;" EI'!$D$6:$Z$53")))*_xlfn.XLOOKUP($B38&amp;D$15,'Gas Useage'!$A$4:$A$15&amp;'Gas Useage'!$B$4:$B$15,_xlfn.XLOOKUP($C38&amp;D$14,'Gas Useage'!$C$2:$AB$2&amp;'Gas Useage'!$C$3:$AB$3,'Gas Useage'!$C$4:$AB$15))/_xlfn.XLOOKUP($B38&amp;D$15,'Gas Useage'!$A$4:$A$15&amp;'Gas Useage'!$B$4:$B$15,_xlfn.XLOOKUP(D$14,'Gas Useage'!$AA$3:$AB$3,'Gas Useage'!$AA$4:$AB$15))</f>
        <v>2.1356520501856738E-3</v>
      </c>
      <c r="E38" s="259" cm="1">
        <f t="array" aca="1" ref="E38" ca="1">_xlfn.XLOOKUP(E$13,INDIRECT("'"&amp;$B38&amp;" EI'!$B$6:$B$53"),_xlfn.XLOOKUP($C$10,INDIRECT("'"&amp;$B38&amp;" EI'!$D$4:$Z$4"),INDIRECT("'"&amp;$B38&amp;" EI'!$D$6:$Z$53")))*_xlfn.XLOOKUP($B38&amp;E$15,'Gas Useage'!$A$4:$A$15&amp;'Gas Useage'!$B$4:$B$15,_xlfn.XLOOKUP($C38&amp;E$14,'Gas Useage'!$C$2:$AB$2&amp;'Gas Useage'!$C$3:$AB$3,'Gas Useage'!$C$4:$AB$15))/_xlfn.XLOOKUP($B38&amp;E$15,'Gas Useage'!$A$4:$A$15&amp;'Gas Useage'!$B$4:$B$15,_xlfn.XLOOKUP(E$14,'Gas Useage'!$AA$3:$AB$3,'Gas Useage'!$AA$4:$AB$15))</f>
        <v>3.5183732745639957E-3</v>
      </c>
      <c r="F38" s="259" cm="1">
        <f t="array" aca="1" ref="F38" ca="1">_xlfn.XLOOKUP(F$13,INDIRECT("'"&amp;$B38&amp;" EI'!$B$6:$B$53"),_xlfn.XLOOKUP($C$10,INDIRECT("'"&amp;$B38&amp;" EI'!$D$4:$Z$4"),INDIRECT("'"&amp;$B38&amp;" EI'!$D$6:$Z$53")))*_xlfn.XLOOKUP($B38&amp;F$15,'Gas Useage'!$A$4:$A$15&amp;'Gas Useage'!$B$4:$B$15,_xlfn.XLOOKUP($C38&amp;F$14,'Gas Useage'!$C$2:$AB$2&amp;'Gas Useage'!$C$3:$AB$3,'Gas Useage'!$C$4:$AB$15))/_xlfn.XLOOKUP($B38&amp;F$15,'Gas Useage'!$A$4:$A$15&amp;'Gas Useage'!$B$4:$B$15,_xlfn.XLOOKUP(F$14,'Gas Useage'!$AA$3:$AB$3,'Gas Useage'!$AA$4:$AB$15))</f>
        <v>1.9461239615741017E-3</v>
      </c>
      <c r="G38" s="259" cm="1">
        <f t="array" aca="1" ref="G38" ca="1">_xlfn.XLOOKUP(G$13,INDIRECT("'"&amp;$B38&amp;" EI'!$B$6:$B$53"),_xlfn.XLOOKUP($C$10,INDIRECT("'"&amp;$B38&amp;" EI'!$D$4:$Z$4"),INDIRECT("'"&amp;$B38&amp;" EI'!$D$6:$Z$53")))*_xlfn.XLOOKUP($B38&amp;G$15,'Gas Useage'!$A$4:$A$15&amp;'Gas Useage'!$B$4:$B$15,_xlfn.XLOOKUP($C38&amp;G$14,'Gas Useage'!$C$2:$AB$2&amp;'Gas Useage'!$C$3:$AB$3,'Gas Useage'!$C$4:$AB$15))/_xlfn.XLOOKUP($B38&amp;G$15,'Gas Useage'!$A$4:$A$15&amp;'Gas Useage'!$B$4:$B$15,_xlfn.XLOOKUP(G$14,'Gas Useage'!$AA$3:$AB$3,'Gas Useage'!$AA$4:$AB$15))</f>
        <v>3.2061358191731795E-3</v>
      </c>
      <c r="H38" s="260" t="s">
        <v>278</v>
      </c>
      <c r="I38" s="260" t="s">
        <v>278</v>
      </c>
      <c r="J38" s="260" t="s">
        <v>278</v>
      </c>
      <c r="K38" s="261" t="s">
        <v>278</v>
      </c>
      <c r="N38" s="258"/>
    </row>
    <row r="39" spans="2:14" ht="13.5" x14ac:dyDescent="0.25">
      <c r="B39" s="32">
        <v>2021</v>
      </c>
      <c r="C39" s="494" t="s">
        <v>289</v>
      </c>
      <c r="D39" s="259" cm="1">
        <f t="array" aca="1" ref="D39" ca="1">_xlfn.XLOOKUP(D$13,INDIRECT("'"&amp;$B39&amp;" EI'!$B$6:$B$53"),_xlfn.XLOOKUP($C$10,INDIRECT("'"&amp;$B39&amp;" EI'!$D$4:$Z$4"),INDIRECT("'"&amp;$B39&amp;" EI'!$D$6:$Z$53")))*_xlfn.XLOOKUP($B39&amp;D$15,'Gas Useage'!$A$4:$A$15&amp;'Gas Useage'!$B$4:$B$15,_xlfn.XLOOKUP($C39&amp;D$14,'Gas Useage'!$C$2:$AB$2&amp;'Gas Useage'!$C$3:$AB$3,'Gas Useage'!$C$4:$AB$15))/_xlfn.XLOOKUP($B39&amp;D$15,'Gas Useage'!$A$4:$A$15&amp;'Gas Useage'!$B$4:$B$15,_xlfn.XLOOKUP(D$14,'Gas Useage'!$AA$3:$AB$3,'Gas Useage'!$AA$4:$AB$15))</f>
        <v>1.2811329513698318E-3</v>
      </c>
      <c r="E39" s="259" cm="1">
        <f t="array" aca="1" ref="E39" ca="1">_xlfn.XLOOKUP(E$13,INDIRECT("'"&amp;$B39&amp;" EI'!$B$6:$B$53"),_xlfn.XLOOKUP($C$10,INDIRECT("'"&amp;$B39&amp;" EI'!$D$4:$Z$4"),INDIRECT("'"&amp;$B39&amp;" EI'!$D$6:$Z$53")))*_xlfn.XLOOKUP($B39&amp;E$15,'Gas Useage'!$A$4:$A$15&amp;'Gas Useage'!$B$4:$B$15,_xlfn.XLOOKUP($C39&amp;E$14,'Gas Useage'!$C$2:$AB$2&amp;'Gas Useage'!$C$3:$AB$3,'Gas Useage'!$C$4:$AB$15))/_xlfn.XLOOKUP($B39&amp;E$15,'Gas Useage'!$A$4:$A$15&amp;'Gas Useage'!$B$4:$B$15,_xlfn.XLOOKUP(E$14,'Gas Useage'!$AA$3:$AB$3,'Gas Useage'!$AA$4:$AB$15))</f>
        <v>2.0192526889588319E-3</v>
      </c>
      <c r="F39" s="259" cm="1">
        <f t="array" aca="1" ref="F39" ca="1">_xlfn.XLOOKUP(F$13,INDIRECT("'"&amp;$B39&amp;" EI'!$B$6:$B$53"),_xlfn.XLOOKUP($C$10,INDIRECT("'"&amp;$B39&amp;" EI'!$D$4:$Z$4"),INDIRECT("'"&amp;$B39&amp;" EI'!$D$6:$Z$53")))*_xlfn.XLOOKUP($B39&amp;F$15,'Gas Useage'!$A$4:$A$15&amp;'Gas Useage'!$B$4:$B$15,_xlfn.XLOOKUP($C39&amp;F$14,'Gas Useage'!$C$2:$AB$2&amp;'Gas Useage'!$C$3:$AB$3,'Gas Useage'!$C$4:$AB$15))/_xlfn.XLOOKUP($B39&amp;F$15,'Gas Useage'!$A$4:$A$15&amp;'Gas Useage'!$B$4:$B$15,_xlfn.XLOOKUP(F$14,'Gas Useage'!$AA$3:$AB$3,'Gas Useage'!$AA$4:$AB$15))</f>
        <v>1.2443716041282298E-3</v>
      </c>
      <c r="G39" s="259" cm="1">
        <f t="array" aca="1" ref="G39" ca="1">_xlfn.XLOOKUP(G$13,INDIRECT("'"&amp;$B39&amp;" EI'!$B$6:$B$53"),_xlfn.XLOOKUP($C$10,INDIRECT("'"&amp;$B39&amp;" EI'!$D$4:$Z$4"),INDIRECT("'"&amp;$B39&amp;" EI'!$D$6:$Z$53")))*_xlfn.XLOOKUP($B39&amp;G$15,'Gas Useage'!$A$4:$A$15&amp;'Gas Useage'!$B$4:$B$15,_xlfn.XLOOKUP($C39&amp;G$14,'Gas Useage'!$C$2:$AB$2&amp;'Gas Useage'!$C$3:$AB$3,'Gas Useage'!$C$4:$AB$15))/_xlfn.XLOOKUP($B39&amp;G$15,'Gas Useage'!$A$4:$A$15&amp;'Gas Useage'!$B$4:$B$15,_xlfn.XLOOKUP(G$14,'Gas Useage'!$AA$3:$AB$3,'Gas Useage'!$AA$4:$AB$15))</f>
        <v>1.9613114353301707E-3</v>
      </c>
      <c r="H39" s="260" t="s">
        <v>278</v>
      </c>
      <c r="I39" s="260" t="s">
        <v>278</v>
      </c>
      <c r="J39" s="260" t="s">
        <v>278</v>
      </c>
      <c r="K39" s="261" t="s">
        <v>278</v>
      </c>
      <c r="N39" s="258"/>
    </row>
    <row r="40" spans="2:14" ht="13.5" x14ac:dyDescent="0.25">
      <c r="B40" s="32">
        <v>2022</v>
      </c>
      <c r="C40" s="494" t="s">
        <v>277</v>
      </c>
      <c r="D40" s="259" cm="1">
        <f t="array" aca="1" ref="D40" ca="1">_xlfn.XLOOKUP(D$13,INDIRECT("'"&amp;$B40&amp;" EI'!$B$6:$B$53"),_xlfn.XLOOKUP($C$10,INDIRECT("'"&amp;$B40&amp;" EI'!$D$4:$Z$4"),INDIRECT("'"&amp;$B40&amp;" EI'!$D$6:$Z$53")))*_xlfn.XLOOKUP($B40&amp;D$15,'Gas Useage'!$A$4:$A$15&amp;'Gas Useage'!$B$4:$B$15,_xlfn.XLOOKUP($C40&amp;D$14,'Gas Useage'!$C$2:$AB$2&amp;'Gas Useage'!$C$3:$AB$3,'Gas Useage'!$C$4:$AB$15))/_xlfn.XLOOKUP($B40&amp;D$15,'Gas Useage'!$A$4:$A$15&amp;'Gas Useage'!$B$4:$B$15,_xlfn.XLOOKUP(D$14,'Gas Useage'!$AA$3:$AB$3,'Gas Useage'!$AA$4:$AB$15))</f>
        <v>1.3672938204825897E-3</v>
      </c>
      <c r="E40" s="259" cm="1">
        <f t="array" aca="1" ref="E40" ca="1">_xlfn.XLOOKUP(E$13,INDIRECT("'"&amp;$B40&amp;" EI'!$B$6:$B$53"),_xlfn.XLOOKUP($C$10,INDIRECT("'"&amp;$B40&amp;" EI'!$D$4:$Z$4"),INDIRECT("'"&amp;$B40&amp;" EI'!$D$6:$Z$53")))*_xlfn.XLOOKUP($B40&amp;E$15,'Gas Useage'!$A$4:$A$15&amp;'Gas Useage'!$B$4:$B$15,_xlfn.XLOOKUP($C40&amp;E$14,'Gas Useage'!$C$2:$AB$2&amp;'Gas Useage'!$C$3:$AB$3,'Gas Useage'!$C$4:$AB$15))/_xlfn.XLOOKUP($B40&amp;E$15,'Gas Useage'!$A$4:$A$15&amp;'Gas Useage'!$B$4:$B$15,_xlfn.XLOOKUP(E$14,'Gas Useage'!$AA$3:$AB$3,'Gas Useage'!$AA$4:$AB$15))</f>
        <v>2.8602659173197257E-3</v>
      </c>
      <c r="F40" s="259" cm="1">
        <f t="array" aca="1" ref="F40" ca="1">_xlfn.XLOOKUP(F$13,INDIRECT("'"&amp;$B40&amp;" EI'!$B$6:$B$53"),_xlfn.XLOOKUP($C$10,INDIRECT("'"&amp;$B40&amp;" EI'!$D$4:$Z$4"),INDIRECT("'"&amp;$B40&amp;" EI'!$D$6:$Z$53")))*_xlfn.XLOOKUP($B40&amp;F$15,'Gas Useage'!$A$4:$A$15&amp;'Gas Useage'!$B$4:$B$15,_xlfn.XLOOKUP($C40&amp;F$14,'Gas Useage'!$C$2:$AB$2&amp;'Gas Useage'!$C$3:$AB$3,'Gas Useage'!$C$4:$AB$15))/_xlfn.XLOOKUP($B40&amp;F$15,'Gas Useage'!$A$4:$A$15&amp;'Gas Useage'!$B$4:$B$15,_xlfn.XLOOKUP(F$14,'Gas Useage'!$AA$3:$AB$3,'Gas Useage'!$AA$4:$AB$15))</f>
        <v>1.2157643765866638E-3</v>
      </c>
      <c r="G40" s="259" cm="1">
        <f t="array" aca="1" ref="G40" ca="1">_xlfn.XLOOKUP(G$13,INDIRECT("'"&amp;$B40&amp;" EI'!$B$6:$B$53"),_xlfn.XLOOKUP($C$10,INDIRECT("'"&amp;$B40&amp;" EI'!$D$4:$Z$4"),INDIRECT("'"&amp;$B40&amp;" EI'!$D$6:$Z$53")))*_xlfn.XLOOKUP($B40&amp;G$15,'Gas Useage'!$A$4:$A$15&amp;'Gas Useage'!$B$4:$B$15,_xlfn.XLOOKUP($C40&amp;G$14,'Gas Useage'!$C$2:$AB$2&amp;'Gas Useage'!$C$3:$AB$3,'Gas Useage'!$C$4:$AB$15))/_xlfn.XLOOKUP($B40&amp;G$15,'Gas Useage'!$A$4:$A$15&amp;'Gas Useage'!$B$4:$B$15,_xlfn.XLOOKUP(G$14,'Gas Useage'!$AA$3:$AB$3,'Gas Useage'!$AA$4:$AB$15))</f>
        <v>2.5432788167030099E-3</v>
      </c>
      <c r="H40" s="260" t="s">
        <v>278</v>
      </c>
      <c r="I40" s="260" t="s">
        <v>278</v>
      </c>
      <c r="J40" s="260" t="s">
        <v>278</v>
      </c>
      <c r="K40" s="261" t="s">
        <v>278</v>
      </c>
      <c r="N40" s="258"/>
    </row>
    <row r="41" spans="2:14" ht="13.5" x14ac:dyDescent="0.25">
      <c r="B41" s="32">
        <v>2022</v>
      </c>
      <c r="C41" s="494" t="s">
        <v>279</v>
      </c>
      <c r="D41" s="259" cm="1">
        <f t="array" aca="1" ref="D41" ca="1">_xlfn.XLOOKUP(D$13,INDIRECT("'"&amp;$B41&amp;" EI'!$B$6:$B$53"),_xlfn.XLOOKUP($C$10,INDIRECT("'"&amp;$B41&amp;" EI'!$D$4:$Z$4"),INDIRECT("'"&amp;$B41&amp;" EI'!$D$6:$Z$53")))*_xlfn.XLOOKUP($B41&amp;D$15,'Gas Useage'!$A$4:$A$15&amp;'Gas Useage'!$B$4:$B$15,_xlfn.XLOOKUP($C41&amp;D$14,'Gas Useage'!$C$2:$AB$2&amp;'Gas Useage'!$C$3:$AB$3,'Gas Useage'!$C$4:$AB$15))/_xlfn.XLOOKUP($B41&amp;D$15,'Gas Useage'!$A$4:$A$15&amp;'Gas Useage'!$B$4:$B$15,_xlfn.XLOOKUP(D$14,'Gas Useage'!$AA$3:$AB$3,'Gas Useage'!$AA$4:$AB$15))</f>
        <v>1.3033663471024113E-3</v>
      </c>
      <c r="E41" s="259" cm="1">
        <f t="array" aca="1" ref="E41" ca="1">_xlfn.XLOOKUP(E$13,INDIRECT("'"&amp;$B41&amp;" EI'!$B$6:$B$53"),_xlfn.XLOOKUP($C$10,INDIRECT("'"&amp;$B41&amp;" EI'!$D$4:$Z$4"),INDIRECT("'"&amp;$B41&amp;" EI'!$D$6:$Z$53")))*_xlfn.XLOOKUP($B41&amp;E$15,'Gas Useage'!$A$4:$A$15&amp;'Gas Useage'!$B$4:$B$15,_xlfn.XLOOKUP($C41&amp;E$14,'Gas Useage'!$C$2:$AB$2&amp;'Gas Useage'!$C$3:$AB$3,'Gas Useage'!$C$4:$AB$15))/_xlfn.XLOOKUP($B41&amp;E$15,'Gas Useage'!$A$4:$A$15&amp;'Gas Useage'!$B$4:$B$15,_xlfn.XLOOKUP(E$14,'Gas Useage'!$AA$3:$AB$3,'Gas Useage'!$AA$4:$AB$15))</f>
        <v>2.4394643469961403E-3</v>
      </c>
      <c r="F41" s="259" cm="1">
        <f t="array" aca="1" ref="F41" ca="1">_xlfn.XLOOKUP(F$13,INDIRECT("'"&amp;$B41&amp;" EI'!$B$6:$B$53"),_xlfn.XLOOKUP($C$10,INDIRECT("'"&amp;$B41&amp;" EI'!$D$4:$Z$4"),INDIRECT("'"&amp;$B41&amp;" EI'!$D$6:$Z$53")))*_xlfn.XLOOKUP($B41&amp;F$15,'Gas Useage'!$A$4:$A$15&amp;'Gas Useage'!$B$4:$B$15,_xlfn.XLOOKUP($C41&amp;F$14,'Gas Useage'!$C$2:$AB$2&amp;'Gas Useage'!$C$3:$AB$3,'Gas Useage'!$C$4:$AB$15))/_xlfn.XLOOKUP($B41&amp;F$15,'Gas Useage'!$A$4:$A$15&amp;'Gas Useage'!$B$4:$B$15,_xlfn.XLOOKUP(F$14,'Gas Useage'!$AA$3:$AB$3,'Gas Useage'!$AA$4:$AB$15))</f>
        <v>8.7405609547162486E-4</v>
      </c>
      <c r="G41" s="259" cm="1">
        <f t="array" aca="1" ref="G41" ca="1">_xlfn.XLOOKUP(G$13,INDIRECT("'"&amp;$B41&amp;" EI'!$B$6:$B$53"),_xlfn.XLOOKUP($C$10,INDIRECT("'"&amp;$B41&amp;" EI'!$D$4:$Z$4"),INDIRECT("'"&amp;$B41&amp;" EI'!$D$6:$Z$53")))*_xlfn.XLOOKUP($B41&amp;G$15,'Gas Useage'!$A$4:$A$15&amp;'Gas Useage'!$B$4:$B$15,_xlfn.XLOOKUP($C41&amp;G$14,'Gas Useage'!$C$2:$AB$2&amp;'Gas Useage'!$C$3:$AB$3,'Gas Useage'!$C$4:$AB$15))/_xlfn.XLOOKUP($B41&amp;G$15,'Gas Useage'!$A$4:$A$15&amp;'Gas Useage'!$B$4:$B$15,_xlfn.XLOOKUP(G$14,'Gas Useage'!$AA$3:$AB$3,'Gas Useage'!$AA$4:$AB$15))</f>
        <v>1.635939647297142E-3</v>
      </c>
      <c r="H41" s="260" t="s">
        <v>278</v>
      </c>
      <c r="I41" s="260" t="s">
        <v>278</v>
      </c>
      <c r="J41" s="260" t="s">
        <v>278</v>
      </c>
      <c r="K41" s="261" t="s">
        <v>278</v>
      </c>
      <c r="N41" s="258"/>
    </row>
    <row r="42" spans="2:14" ht="13.5" x14ac:dyDescent="0.25">
      <c r="B42" s="32">
        <v>2022</v>
      </c>
      <c r="C42" s="494" t="s">
        <v>280</v>
      </c>
      <c r="D42" s="259" cm="1">
        <f t="array" aca="1" ref="D42" ca="1">_xlfn.XLOOKUP(D$13,INDIRECT("'"&amp;$B42&amp;" EI'!$B$6:$B$53"),_xlfn.XLOOKUP($C$10,INDIRECT("'"&amp;$B42&amp;" EI'!$D$4:$Z$4"),INDIRECT("'"&amp;$B42&amp;" EI'!$D$6:$Z$53")))*_xlfn.XLOOKUP($B42&amp;D$15,'Gas Useage'!$A$4:$A$15&amp;'Gas Useage'!$B$4:$B$15,_xlfn.XLOOKUP($C42&amp;D$14,'Gas Useage'!$C$2:$AB$2&amp;'Gas Useage'!$C$3:$AB$3,'Gas Useage'!$C$4:$AB$15))/_xlfn.XLOOKUP($B42&amp;D$15,'Gas Useage'!$A$4:$A$15&amp;'Gas Useage'!$B$4:$B$15,_xlfn.XLOOKUP(D$14,'Gas Useage'!$AA$3:$AB$3,'Gas Useage'!$AA$4:$AB$15))</f>
        <v>1.5103160195928335E-3</v>
      </c>
      <c r="E42" s="259" cm="1">
        <f t="array" aca="1" ref="E42" ca="1">_xlfn.XLOOKUP(E$13,INDIRECT("'"&amp;$B42&amp;" EI'!$B$6:$B$53"),_xlfn.XLOOKUP($C$10,INDIRECT("'"&amp;$B42&amp;" EI'!$D$4:$Z$4"),INDIRECT("'"&amp;$B42&amp;" EI'!$D$6:$Z$53")))*_xlfn.XLOOKUP($B42&amp;E$15,'Gas Useage'!$A$4:$A$15&amp;'Gas Useage'!$B$4:$B$15,_xlfn.XLOOKUP($C42&amp;E$14,'Gas Useage'!$C$2:$AB$2&amp;'Gas Useage'!$C$3:$AB$3,'Gas Useage'!$C$4:$AB$15))/_xlfn.XLOOKUP($B42&amp;E$15,'Gas Useage'!$A$4:$A$15&amp;'Gas Useage'!$B$4:$B$15,_xlfn.XLOOKUP(E$14,'Gas Useage'!$AA$3:$AB$3,'Gas Useage'!$AA$4:$AB$15))</f>
        <v>2.5304185666925045E-3</v>
      </c>
      <c r="F42" s="259" cm="1">
        <f t="array" aca="1" ref="F42" ca="1">_xlfn.XLOOKUP(F$13,INDIRECT("'"&amp;$B42&amp;" EI'!$B$6:$B$53"),_xlfn.XLOOKUP($C$10,INDIRECT("'"&amp;$B42&amp;" EI'!$D$4:$Z$4"),INDIRECT("'"&amp;$B42&amp;" EI'!$D$6:$Z$53")))*_xlfn.XLOOKUP($B42&amp;F$15,'Gas Useage'!$A$4:$A$15&amp;'Gas Useage'!$B$4:$B$15,_xlfn.XLOOKUP($C42&amp;F$14,'Gas Useage'!$C$2:$AB$2&amp;'Gas Useage'!$C$3:$AB$3,'Gas Useage'!$C$4:$AB$15))/_xlfn.XLOOKUP($B42&amp;F$15,'Gas Useage'!$A$4:$A$15&amp;'Gas Useage'!$B$4:$B$15,_xlfn.XLOOKUP(F$14,'Gas Useage'!$AA$3:$AB$3,'Gas Useage'!$AA$4:$AB$15))</f>
        <v>7.1553971481319112E-4</v>
      </c>
      <c r="G42" s="259" cm="1">
        <f t="array" aca="1" ref="G42" ca="1">_xlfn.XLOOKUP(G$13,INDIRECT("'"&amp;$B42&amp;" EI'!$B$6:$B$53"),_xlfn.XLOOKUP($C$10,INDIRECT("'"&amp;$B42&amp;" EI'!$D$4:$Z$4"),INDIRECT("'"&amp;$B42&amp;" EI'!$D$6:$Z$53")))*_xlfn.XLOOKUP($B42&amp;G$15,'Gas Useage'!$A$4:$A$15&amp;'Gas Useage'!$B$4:$B$15,_xlfn.XLOOKUP($C42&amp;G$14,'Gas Useage'!$C$2:$AB$2&amp;'Gas Useage'!$C$3:$AB$3,'Gas Useage'!$C$4:$AB$15))/_xlfn.XLOOKUP($B42&amp;G$15,'Gas Useage'!$A$4:$A$15&amp;'Gas Useage'!$B$4:$B$15,_xlfn.XLOOKUP(G$14,'Gas Useage'!$AA$3:$AB$3,'Gas Useage'!$AA$4:$AB$15))</f>
        <v>1.1988318709996088E-3</v>
      </c>
      <c r="H42" s="260" t="s">
        <v>278</v>
      </c>
      <c r="I42" s="260" t="s">
        <v>278</v>
      </c>
      <c r="J42" s="260" t="s">
        <v>278</v>
      </c>
      <c r="K42" s="261" t="s">
        <v>278</v>
      </c>
      <c r="N42" s="258"/>
    </row>
    <row r="43" spans="2:14" ht="13.5" x14ac:dyDescent="0.25">
      <c r="B43" s="32">
        <v>2022</v>
      </c>
      <c r="C43" s="494" t="s">
        <v>281</v>
      </c>
      <c r="D43" s="259" cm="1">
        <f t="array" aca="1" ref="D43" ca="1">_xlfn.XLOOKUP(D$13,INDIRECT("'"&amp;$B43&amp;" EI'!$B$6:$B$53"),_xlfn.XLOOKUP($C$10,INDIRECT("'"&amp;$B43&amp;" EI'!$D$4:$Z$4"),INDIRECT("'"&amp;$B43&amp;" EI'!$D$6:$Z$53")))*_xlfn.XLOOKUP($B43&amp;D$15,'Gas Useage'!$A$4:$A$15&amp;'Gas Useage'!$B$4:$B$15,_xlfn.XLOOKUP($C43&amp;D$14,'Gas Useage'!$C$2:$AB$2&amp;'Gas Useage'!$C$3:$AB$3,'Gas Useage'!$C$4:$AB$15))/_xlfn.XLOOKUP($B43&amp;D$15,'Gas Useage'!$A$4:$A$15&amp;'Gas Useage'!$B$4:$B$15,_xlfn.XLOOKUP(D$14,'Gas Useage'!$AA$3:$AB$3,'Gas Useage'!$AA$4:$AB$15))</f>
        <v>1.5483294461654609E-3</v>
      </c>
      <c r="E43" s="259" cm="1">
        <f t="array" aca="1" ref="E43" ca="1">_xlfn.XLOOKUP(E$13,INDIRECT("'"&amp;$B43&amp;" EI'!$B$6:$B$53"),_xlfn.XLOOKUP($C$10,INDIRECT("'"&amp;$B43&amp;" EI'!$D$4:$Z$4"),INDIRECT("'"&amp;$B43&amp;" EI'!$D$6:$Z$53")))*_xlfn.XLOOKUP($B43&amp;E$15,'Gas Useage'!$A$4:$A$15&amp;'Gas Useage'!$B$4:$B$15,_xlfn.XLOOKUP($C43&amp;E$14,'Gas Useage'!$C$2:$AB$2&amp;'Gas Useage'!$C$3:$AB$3,'Gas Useage'!$C$4:$AB$15))/_xlfn.XLOOKUP($B43&amp;E$15,'Gas Useage'!$A$4:$A$15&amp;'Gas Useage'!$B$4:$B$15,_xlfn.XLOOKUP(E$14,'Gas Useage'!$AA$3:$AB$3,'Gas Useage'!$AA$4:$AB$15))</f>
        <v>2.8636934790187058E-3</v>
      </c>
      <c r="F43" s="259" cm="1">
        <f t="array" aca="1" ref="F43" ca="1">_xlfn.XLOOKUP(F$13,INDIRECT("'"&amp;$B43&amp;" EI'!$B$6:$B$53"),_xlfn.XLOOKUP($C$10,INDIRECT("'"&amp;$B43&amp;" EI'!$D$4:$Z$4"),INDIRECT("'"&amp;$B43&amp;" EI'!$D$6:$Z$53")))*_xlfn.XLOOKUP($B43&amp;F$15,'Gas Useage'!$A$4:$A$15&amp;'Gas Useage'!$B$4:$B$15,_xlfn.XLOOKUP($C43&amp;F$14,'Gas Useage'!$C$2:$AB$2&amp;'Gas Useage'!$C$3:$AB$3,'Gas Useage'!$C$4:$AB$15))/_xlfn.XLOOKUP($B43&amp;F$15,'Gas Useage'!$A$4:$A$15&amp;'Gas Useage'!$B$4:$B$15,_xlfn.XLOOKUP(F$14,'Gas Useage'!$AA$3:$AB$3,'Gas Useage'!$AA$4:$AB$15))</f>
        <v>1.2487658927964643E-3</v>
      </c>
      <c r="G43" s="259" cm="1">
        <f t="array" aca="1" ref="G43" ca="1">_xlfn.XLOOKUP(G$13,INDIRECT("'"&amp;$B43&amp;" EI'!$B$6:$B$53"),_xlfn.XLOOKUP($C$10,INDIRECT("'"&amp;$B43&amp;" EI'!$D$4:$Z$4"),INDIRECT("'"&amp;$B43&amp;" EI'!$D$6:$Z$53")))*_xlfn.XLOOKUP($B43&amp;G$15,'Gas Useage'!$A$4:$A$15&amp;'Gas Useage'!$B$4:$B$15,_xlfn.XLOOKUP($C43&amp;G$14,'Gas Useage'!$C$2:$AB$2&amp;'Gas Useage'!$C$3:$AB$3,'Gas Useage'!$C$4:$AB$15))/_xlfn.XLOOKUP($B43&amp;G$15,'Gas Useage'!$A$4:$A$15&amp;'Gas Useage'!$B$4:$B$15,_xlfn.XLOOKUP(G$14,'Gas Useage'!$AA$3:$AB$3,'Gas Useage'!$AA$4:$AB$15))</f>
        <v>2.3096394329246979E-3</v>
      </c>
      <c r="H43" s="260" t="s">
        <v>278</v>
      </c>
      <c r="I43" s="260" t="s">
        <v>278</v>
      </c>
      <c r="J43" s="260" t="s">
        <v>278</v>
      </c>
      <c r="K43" s="261" t="s">
        <v>278</v>
      </c>
      <c r="N43" s="258"/>
    </row>
    <row r="44" spans="2:14" ht="13.5" x14ac:dyDescent="0.25">
      <c r="B44" s="32">
        <v>2022</v>
      </c>
      <c r="C44" s="494" t="s">
        <v>282</v>
      </c>
      <c r="D44" s="259" cm="1">
        <f t="array" aca="1" ref="D44" ca="1">_xlfn.XLOOKUP(D$13,INDIRECT("'"&amp;$B44&amp;" EI'!$B$6:$B$53"),_xlfn.XLOOKUP($C$10,INDIRECT("'"&amp;$B44&amp;" EI'!$D$4:$Z$4"),INDIRECT("'"&amp;$B44&amp;" EI'!$D$6:$Z$53")))*_xlfn.XLOOKUP($B44&amp;D$15,'Gas Useage'!$A$4:$A$15&amp;'Gas Useage'!$B$4:$B$15,_xlfn.XLOOKUP($C44&amp;D$14,'Gas Useage'!$C$2:$AB$2&amp;'Gas Useage'!$C$3:$AB$3,'Gas Useage'!$C$4:$AB$15))/_xlfn.XLOOKUP($B44&amp;D$15,'Gas Useage'!$A$4:$A$15&amp;'Gas Useage'!$B$4:$B$15,_xlfn.XLOOKUP(D$14,'Gas Useage'!$AA$3:$AB$3,'Gas Useage'!$AA$4:$AB$15))</f>
        <v>1.0647040243661416E-3</v>
      </c>
      <c r="E44" s="259" cm="1">
        <f t="array" aca="1" ref="E44" ca="1">_xlfn.XLOOKUP(E$13,INDIRECT("'"&amp;$B44&amp;" EI'!$B$6:$B$53"),_xlfn.XLOOKUP($C$10,INDIRECT("'"&amp;$B44&amp;" EI'!$D$4:$Z$4"),INDIRECT("'"&amp;$B44&amp;" EI'!$D$6:$Z$53")))*_xlfn.XLOOKUP($B44&amp;E$15,'Gas Useage'!$A$4:$A$15&amp;'Gas Useage'!$B$4:$B$15,_xlfn.XLOOKUP($C44&amp;E$14,'Gas Useage'!$C$2:$AB$2&amp;'Gas Useage'!$C$3:$AB$3,'Gas Useage'!$C$4:$AB$15))/_xlfn.XLOOKUP($B44&amp;E$15,'Gas Useage'!$A$4:$A$15&amp;'Gas Useage'!$B$4:$B$15,_xlfn.XLOOKUP(E$14,'Gas Useage'!$AA$3:$AB$3,'Gas Useage'!$AA$4:$AB$15))</f>
        <v>2.0520671666689853E-3</v>
      </c>
      <c r="F44" s="259" cm="1">
        <f t="array" aca="1" ref="F44" ca="1">_xlfn.XLOOKUP(F$13,INDIRECT("'"&amp;$B44&amp;" EI'!$B$6:$B$53"),_xlfn.XLOOKUP($C$10,INDIRECT("'"&amp;$B44&amp;" EI'!$D$4:$Z$4"),INDIRECT("'"&amp;$B44&amp;" EI'!$D$6:$Z$53")))*_xlfn.XLOOKUP($B44&amp;F$15,'Gas Useage'!$A$4:$A$15&amp;'Gas Useage'!$B$4:$B$15,_xlfn.XLOOKUP($C44&amp;F$14,'Gas Useage'!$C$2:$AB$2&amp;'Gas Useage'!$C$3:$AB$3,'Gas Useage'!$C$4:$AB$15))/_xlfn.XLOOKUP($B44&amp;F$15,'Gas Useage'!$A$4:$A$15&amp;'Gas Useage'!$B$4:$B$15,_xlfn.XLOOKUP(F$14,'Gas Useage'!$AA$3:$AB$3,'Gas Useage'!$AA$4:$AB$15))</f>
        <v>6.1716457991633264E-4</v>
      </c>
      <c r="G44" s="259" cm="1">
        <f t="array" aca="1" ref="G44" ca="1">_xlfn.XLOOKUP(G$13,INDIRECT("'"&amp;$B44&amp;" EI'!$B$6:$B$53"),_xlfn.XLOOKUP($C$10,INDIRECT("'"&amp;$B44&amp;" EI'!$D$4:$Z$4"),INDIRECT("'"&amp;$B44&amp;" EI'!$D$6:$Z$53")))*_xlfn.XLOOKUP($B44&amp;G$15,'Gas Useage'!$A$4:$A$15&amp;'Gas Useage'!$B$4:$B$15,_xlfn.XLOOKUP($C44&amp;G$14,'Gas Useage'!$C$2:$AB$2&amp;'Gas Useage'!$C$3:$AB$3,'Gas Useage'!$C$4:$AB$15))/_xlfn.XLOOKUP($B44&amp;G$15,'Gas Useage'!$A$4:$A$15&amp;'Gas Useage'!$B$4:$B$15,_xlfn.XLOOKUP(G$14,'Gas Useage'!$AA$3:$AB$3,'Gas Useage'!$AA$4:$AB$15))</f>
        <v>1.1894978716092822E-3</v>
      </c>
      <c r="H44" s="260" t="s">
        <v>278</v>
      </c>
      <c r="I44" s="260" t="s">
        <v>278</v>
      </c>
      <c r="J44" s="260" t="s">
        <v>278</v>
      </c>
      <c r="K44" s="261" t="s">
        <v>278</v>
      </c>
      <c r="N44" s="258"/>
    </row>
    <row r="45" spans="2:14" ht="13.5" x14ac:dyDescent="0.25">
      <c r="B45" s="32">
        <v>2022</v>
      </c>
      <c r="C45" s="494" t="s">
        <v>283</v>
      </c>
      <c r="D45" s="259" cm="1">
        <f t="array" aca="1" ref="D45" ca="1">_xlfn.XLOOKUP(D$13,INDIRECT("'"&amp;$B45&amp;" EI'!$B$6:$B$53"),_xlfn.XLOOKUP($C$10,INDIRECT("'"&amp;$B45&amp;" EI'!$D$4:$Z$4"),INDIRECT("'"&amp;$B45&amp;" EI'!$D$6:$Z$53")))*_xlfn.XLOOKUP($B45&amp;D$15,'Gas Useage'!$A$4:$A$15&amp;'Gas Useage'!$B$4:$B$15,_xlfn.XLOOKUP($C45&amp;D$14,'Gas Useage'!$C$2:$AB$2&amp;'Gas Useage'!$C$3:$AB$3,'Gas Useage'!$C$4:$AB$15))/_xlfn.XLOOKUP($B45&amp;D$15,'Gas Useage'!$A$4:$A$15&amp;'Gas Useage'!$B$4:$B$15,_xlfn.XLOOKUP(D$14,'Gas Useage'!$AA$3:$AB$3,'Gas Useage'!$AA$4:$AB$15))</f>
        <v>2.7171271657694808E-4</v>
      </c>
      <c r="E45" s="259" cm="1">
        <f t="array" aca="1" ref="E45" ca="1">_xlfn.XLOOKUP(E$13,INDIRECT("'"&amp;$B45&amp;" EI'!$B$6:$B$53"),_xlfn.XLOOKUP($C$10,INDIRECT("'"&amp;$B45&amp;" EI'!$D$4:$Z$4"),INDIRECT("'"&amp;$B45&amp;" EI'!$D$6:$Z$53")))*_xlfn.XLOOKUP($B45&amp;E$15,'Gas Useage'!$A$4:$A$15&amp;'Gas Useage'!$B$4:$B$15,_xlfn.XLOOKUP($C45&amp;E$14,'Gas Useage'!$C$2:$AB$2&amp;'Gas Useage'!$C$3:$AB$3,'Gas Useage'!$C$4:$AB$15))/_xlfn.XLOOKUP($B45&amp;E$15,'Gas Useage'!$A$4:$A$15&amp;'Gas Useage'!$B$4:$B$15,_xlfn.XLOOKUP(E$14,'Gas Useage'!$AA$3:$AB$3,'Gas Useage'!$AA$4:$AB$15))</f>
        <v>5.4738659275320261E-4</v>
      </c>
      <c r="F45" s="259" cm="1">
        <f t="array" aca="1" ref="F45" ca="1">_xlfn.XLOOKUP(F$13,INDIRECT("'"&amp;$B45&amp;" EI'!$B$6:$B$53"),_xlfn.XLOOKUP($C$10,INDIRECT("'"&amp;$B45&amp;" EI'!$D$4:$Z$4"),INDIRECT("'"&amp;$B45&amp;" EI'!$D$6:$Z$53")))*_xlfn.XLOOKUP($B45&amp;F$15,'Gas Useage'!$A$4:$A$15&amp;'Gas Useage'!$B$4:$B$15,_xlfn.XLOOKUP($C45&amp;F$14,'Gas Useage'!$C$2:$AB$2&amp;'Gas Useage'!$C$3:$AB$3,'Gas Useage'!$C$4:$AB$15))/_xlfn.XLOOKUP($B45&amp;F$15,'Gas Useage'!$A$4:$A$15&amp;'Gas Useage'!$B$4:$B$15,_xlfn.XLOOKUP(F$14,'Gas Useage'!$AA$3:$AB$3,'Gas Useage'!$AA$4:$AB$15))</f>
        <v>1.8792225036935194E-4</v>
      </c>
      <c r="G45" s="259" cm="1">
        <f t="array" aca="1" ref="G45" ca="1">_xlfn.XLOOKUP(G$13,INDIRECT("'"&amp;$B45&amp;" EI'!$B$6:$B$53"),_xlfn.XLOOKUP($C$10,INDIRECT("'"&amp;$B45&amp;" EI'!$D$4:$Z$4"),INDIRECT("'"&amp;$B45&amp;" EI'!$D$6:$Z$53")))*_xlfn.XLOOKUP($B45&amp;G$15,'Gas Useage'!$A$4:$A$15&amp;'Gas Useage'!$B$4:$B$15,_xlfn.XLOOKUP($C45&amp;G$14,'Gas Useage'!$C$2:$AB$2&amp;'Gas Useage'!$C$3:$AB$3,'Gas Useage'!$C$4:$AB$15))/_xlfn.XLOOKUP($B45&amp;G$15,'Gas Useage'!$A$4:$A$15&amp;'Gas Useage'!$B$4:$B$15,_xlfn.XLOOKUP(G$14,'Gas Useage'!$AA$3:$AB$3,'Gas Useage'!$AA$4:$AB$15))</f>
        <v>3.7858412233371668E-4</v>
      </c>
      <c r="H45" s="260" t="s">
        <v>278</v>
      </c>
      <c r="I45" s="260" t="s">
        <v>278</v>
      </c>
      <c r="J45" s="260" t="s">
        <v>278</v>
      </c>
      <c r="K45" s="261" t="s">
        <v>278</v>
      </c>
      <c r="N45" s="258"/>
    </row>
    <row r="46" spans="2:14" ht="13.5" x14ac:dyDescent="0.25">
      <c r="B46" s="32">
        <v>2022</v>
      </c>
      <c r="C46" s="494" t="s">
        <v>284</v>
      </c>
      <c r="D46" s="259" cm="1">
        <f t="array" aca="1" ref="D46" ca="1">_xlfn.XLOOKUP(D$13,INDIRECT("'"&amp;$B46&amp;" EI'!$B$6:$B$53"),_xlfn.XLOOKUP($C$10,INDIRECT("'"&amp;$B46&amp;" EI'!$D$4:$Z$4"),INDIRECT("'"&amp;$B46&amp;" EI'!$D$6:$Z$53")))*_xlfn.XLOOKUP($B46&amp;D$15,'Gas Useage'!$A$4:$A$15&amp;'Gas Useage'!$B$4:$B$15,_xlfn.XLOOKUP($C46&amp;D$14,'Gas Useage'!$C$2:$AB$2&amp;'Gas Useage'!$C$3:$AB$3,'Gas Useage'!$C$4:$AB$15))/_xlfn.XLOOKUP($B46&amp;D$15,'Gas Useage'!$A$4:$A$15&amp;'Gas Useage'!$B$4:$B$15,_xlfn.XLOOKUP(D$14,'Gas Useage'!$AA$3:$AB$3,'Gas Useage'!$AA$4:$AB$15))</f>
        <v>7.872900504249503E-4</v>
      </c>
      <c r="E46" s="259" cm="1">
        <f t="array" aca="1" ref="E46" ca="1">_xlfn.XLOOKUP(E$13,INDIRECT("'"&amp;$B46&amp;" EI'!$B$6:$B$53"),_xlfn.XLOOKUP($C$10,INDIRECT("'"&amp;$B46&amp;" EI'!$D$4:$Z$4"),INDIRECT("'"&amp;$B46&amp;" EI'!$D$6:$Z$53")))*_xlfn.XLOOKUP($B46&amp;E$15,'Gas Useage'!$A$4:$A$15&amp;'Gas Useage'!$B$4:$B$15,_xlfn.XLOOKUP($C46&amp;E$14,'Gas Useage'!$C$2:$AB$2&amp;'Gas Useage'!$C$3:$AB$3,'Gas Useage'!$C$4:$AB$15))/_xlfn.XLOOKUP($B46&amp;E$15,'Gas Useage'!$A$4:$A$15&amp;'Gas Useage'!$B$4:$B$15,_xlfn.XLOOKUP(E$14,'Gas Useage'!$AA$3:$AB$3,'Gas Useage'!$AA$4:$AB$15))</f>
        <v>1.8281267921591955E-3</v>
      </c>
      <c r="F46" s="259" cm="1">
        <f t="array" aca="1" ref="F46" ca="1">_xlfn.XLOOKUP(F$13,INDIRECT("'"&amp;$B46&amp;" EI'!$B$6:$B$53"),_xlfn.XLOOKUP($C$10,INDIRECT("'"&amp;$B46&amp;" EI'!$D$4:$Z$4"),INDIRECT("'"&amp;$B46&amp;" EI'!$D$6:$Z$53")))*_xlfn.XLOOKUP($B46&amp;F$15,'Gas Useage'!$A$4:$A$15&amp;'Gas Useage'!$B$4:$B$15,_xlfn.XLOOKUP($C46&amp;F$14,'Gas Useage'!$C$2:$AB$2&amp;'Gas Useage'!$C$3:$AB$3,'Gas Useage'!$C$4:$AB$15))/_xlfn.XLOOKUP($B46&amp;F$15,'Gas Useage'!$A$4:$A$15&amp;'Gas Useage'!$B$4:$B$15,_xlfn.XLOOKUP(F$14,'Gas Useage'!$AA$3:$AB$3,'Gas Useage'!$AA$4:$AB$15))</f>
        <v>7.4419461651369664E-4</v>
      </c>
      <c r="G46" s="259" cm="1">
        <f t="array" aca="1" ref="G46" ca="1">_xlfn.XLOOKUP(G$13,INDIRECT("'"&amp;$B46&amp;" EI'!$B$6:$B$53"),_xlfn.XLOOKUP($C$10,INDIRECT("'"&amp;$B46&amp;" EI'!$D$4:$Z$4"),INDIRECT("'"&amp;$B46&amp;" EI'!$D$6:$Z$53")))*_xlfn.XLOOKUP($B46&amp;G$15,'Gas Useage'!$A$4:$A$15&amp;'Gas Useage'!$B$4:$B$15,_xlfn.XLOOKUP($C46&amp;G$14,'Gas Useage'!$C$2:$AB$2&amp;'Gas Useage'!$C$3:$AB$3,'Gas Useage'!$C$4:$AB$15))/_xlfn.XLOOKUP($B46&amp;G$15,'Gas Useage'!$A$4:$A$15&amp;'Gas Useage'!$B$4:$B$15,_xlfn.XLOOKUP(G$14,'Gas Useage'!$AA$3:$AB$3,'Gas Useage'!$AA$4:$AB$15))</f>
        <v>1.7280570436460974E-3</v>
      </c>
      <c r="H46" s="260" t="s">
        <v>278</v>
      </c>
      <c r="I46" s="260" t="s">
        <v>278</v>
      </c>
      <c r="J46" s="260" t="s">
        <v>278</v>
      </c>
      <c r="K46" s="261" t="s">
        <v>278</v>
      </c>
      <c r="N46" s="258"/>
    </row>
    <row r="47" spans="2:14" ht="13.5" x14ac:dyDescent="0.25">
      <c r="B47" s="32">
        <v>2022</v>
      </c>
      <c r="C47" s="494" t="s">
        <v>285</v>
      </c>
      <c r="D47" s="259" cm="1">
        <f t="array" aca="1" ref="D47" ca="1">_xlfn.XLOOKUP(D$13,INDIRECT("'"&amp;$B47&amp;" EI'!$B$6:$B$53"),_xlfn.XLOOKUP($C$10,INDIRECT("'"&amp;$B47&amp;" EI'!$D$4:$Z$4"),INDIRECT("'"&amp;$B47&amp;" EI'!$D$6:$Z$53")))*_xlfn.XLOOKUP($B47&amp;D$15,'Gas Useage'!$A$4:$A$15&amp;'Gas Useage'!$B$4:$B$15,_xlfn.XLOOKUP($C47&amp;D$14,'Gas Useage'!$C$2:$AB$2&amp;'Gas Useage'!$C$3:$AB$3,'Gas Useage'!$C$4:$AB$15))/_xlfn.XLOOKUP($B47&amp;D$15,'Gas Useage'!$A$4:$A$15&amp;'Gas Useage'!$B$4:$B$15,_xlfn.XLOOKUP(D$14,'Gas Useage'!$AA$3:$AB$3,'Gas Useage'!$AA$4:$AB$15))</f>
        <v>1.9932883538849875E-3</v>
      </c>
      <c r="E47" s="259" cm="1">
        <f t="array" aca="1" ref="E47" ca="1">_xlfn.XLOOKUP(E$13,INDIRECT("'"&amp;$B47&amp;" EI'!$B$6:$B$53"),_xlfn.XLOOKUP($C$10,INDIRECT("'"&amp;$B47&amp;" EI'!$D$4:$Z$4"),INDIRECT("'"&amp;$B47&amp;" EI'!$D$6:$Z$53")))*_xlfn.XLOOKUP($B47&amp;E$15,'Gas Useage'!$A$4:$A$15&amp;'Gas Useage'!$B$4:$B$15,_xlfn.XLOOKUP($C47&amp;E$14,'Gas Useage'!$C$2:$AB$2&amp;'Gas Useage'!$C$3:$AB$3,'Gas Useage'!$C$4:$AB$15))/_xlfn.XLOOKUP($B47&amp;E$15,'Gas Useage'!$A$4:$A$15&amp;'Gas Useage'!$B$4:$B$15,_xlfn.XLOOKUP(E$14,'Gas Useage'!$AA$3:$AB$3,'Gas Useage'!$AA$4:$AB$15))</f>
        <v>3.2804630439499257E-3</v>
      </c>
      <c r="F47" s="259" cm="1">
        <f t="array" aca="1" ref="F47" ca="1">_xlfn.XLOOKUP(F$13,INDIRECT("'"&amp;$B47&amp;" EI'!$B$6:$B$53"),_xlfn.XLOOKUP($C$10,INDIRECT("'"&amp;$B47&amp;" EI'!$D$4:$Z$4"),INDIRECT("'"&amp;$B47&amp;" EI'!$D$6:$Z$53")))*_xlfn.XLOOKUP($B47&amp;F$15,'Gas Useage'!$A$4:$A$15&amp;'Gas Useage'!$B$4:$B$15,_xlfn.XLOOKUP($C47&amp;F$14,'Gas Useage'!$C$2:$AB$2&amp;'Gas Useage'!$C$3:$AB$3,'Gas Useage'!$C$4:$AB$15))/_xlfn.XLOOKUP($B47&amp;F$15,'Gas Useage'!$A$4:$A$15&amp;'Gas Useage'!$B$4:$B$15,_xlfn.XLOOKUP(F$14,'Gas Useage'!$AA$3:$AB$3,'Gas Useage'!$AA$4:$AB$15))</f>
        <v>1.4481442061857264E-3</v>
      </c>
      <c r="G47" s="259" cm="1">
        <f t="array" aca="1" ref="G47" ca="1">_xlfn.XLOOKUP(G$13,INDIRECT("'"&amp;$B47&amp;" EI'!$B$6:$B$53"),_xlfn.XLOOKUP($C$10,INDIRECT("'"&amp;$B47&amp;" EI'!$D$4:$Z$4"),INDIRECT("'"&amp;$B47&amp;" EI'!$D$6:$Z$53")))*_xlfn.XLOOKUP($B47&amp;G$15,'Gas Useage'!$A$4:$A$15&amp;'Gas Useage'!$B$4:$B$15,_xlfn.XLOOKUP($C47&amp;G$14,'Gas Useage'!$C$2:$AB$2&amp;'Gas Useage'!$C$3:$AB$3,'Gas Useage'!$C$4:$AB$15))/_xlfn.XLOOKUP($B47&amp;G$15,'Gas Useage'!$A$4:$A$15&amp;'Gas Useage'!$B$4:$B$15,_xlfn.XLOOKUP(G$14,'Gas Useage'!$AA$3:$AB$3,'Gas Useage'!$AA$4:$AB$15))</f>
        <v>2.3832896737912635E-3</v>
      </c>
      <c r="H47" s="260" t="s">
        <v>278</v>
      </c>
      <c r="I47" s="260" t="s">
        <v>278</v>
      </c>
      <c r="J47" s="260" t="s">
        <v>278</v>
      </c>
      <c r="K47" s="261" t="s">
        <v>278</v>
      </c>
      <c r="N47" s="258"/>
    </row>
    <row r="48" spans="2:14" ht="14.25" thickBot="1" x14ac:dyDescent="0.3">
      <c r="B48" s="33">
        <v>2022</v>
      </c>
      <c r="C48" s="499" t="s">
        <v>286</v>
      </c>
      <c r="D48" s="262" cm="1">
        <f t="array" aca="1" ref="D48" ca="1">_xlfn.XLOOKUP(D$13,INDIRECT("'"&amp;$B48&amp;" EI'!$B$6:$B$53"),_xlfn.XLOOKUP($C$10,INDIRECT("'"&amp;$B48&amp;" EI'!$D$4:$Z$4"),INDIRECT("'"&amp;$B48&amp;" EI'!$D$6:$Z$53")))*_xlfn.XLOOKUP($B48&amp;D$15,'Gas Useage'!$A$4:$A$15&amp;'Gas Useage'!$B$4:$B$15,_xlfn.XLOOKUP($C48&amp;D$14,'Gas Useage'!$C$2:$AB$2&amp;'Gas Useage'!$C$3:$AB$3,'Gas Useage'!$C$4:$AB$15))/_xlfn.XLOOKUP($B48&amp;D$15,'Gas Useage'!$A$4:$A$15&amp;'Gas Useage'!$B$4:$B$15,_xlfn.XLOOKUP(D$14,'Gas Useage'!$AA$3:$AB$3,'Gas Useage'!$AA$4:$AB$15))</f>
        <v>6.7987201197334624E-4</v>
      </c>
      <c r="E48" s="262" cm="1">
        <f t="array" aca="1" ref="E48" ca="1">_xlfn.XLOOKUP(E$13,INDIRECT("'"&amp;$B48&amp;" EI'!$B$6:$B$53"),_xlfn.XLOOKUP($C$10,INDIRECT("'"&amp;$B48&amp;" EI'!$D$4:$Z$4"),INDIRECT("'"&amp;$B48&amp;" EI'!$D$6:$Z$53")))*_xlfn.XLOOKUP($B48&amp;E$15,'Gas Useage'!$A$4:$A$15&amp;'Gas Useage'!$B$4:$B$15,_xlfn.XLOOKUP($C48&amp;E$14,'Gas Useage'!$C$2:$AB$2&amp;'Gas Useage'!$C$3:$AB$3,'Gas Useage'!$C$4:$AB$15))/_xlfn.XLOOKUP($B48&amp;E$15,'Gas Useage'!$A$4:$A$15&amp;'Gas Useage'!$B$4:$B$15,_xlfn.XLOOKUP(E$14,'Gas Useage'!$AA$3:$AB$3,'Gas Useage'!$AA$4:$AB$15))</f>
        <v>1.3960562588464346E-3</v>
      </c>
      <c r="F48" s="262" cm="1">
        <f t="array" aca="1" ref="F48" ca="1">_xlfn.XLOOKUP(F$13,INDIRECT("'"&amp;$B48&amp;" EI'!$B$6:$B$53"),_xlfn.XLOOKUP($C$10,INDIRECT("'"&amp;$B48&amp;" EI'!$D$4:$Z$4"),INDIRECT("'"&amp;$B48&amp;" EI'!$D$6:$Z$53")))*_xlfn.XLOOKUP($B48&amp;F$15,'Gas Useage'!$A$4:$A$15&amp;'Gas Useage'!$B$4:$B$15,_xlfn.XLOOKUP($C48&amp;F$14,'Gas Useage'!$C$2:$AB$2&amp;'Gas Useage'!$C$3:$AB$3,'Gas Useage'!$C$4:$AB$15))/_xlfn.XLOOKUP($B48&amp;F$15,'Gas Useage'!$A$4:$A$15&amp;'Gas Useage'!$B$4:$B$15,_xlfn.XLOOKUP(F$14,'Gas Useage'!$AA$3:$AB$3,'Gas Useage'!$AA$4:$AB$15))</f>
        <v>3.8531668448929697E-4</v>
      </c>
      <c r="G48" s="262" cm="1">
        <f t="array" aca="1" ref="G48" ca="1">_xlfn.XLOOKUP(G$13,INDIRECT("'"&amp;$B48&amp;" EI'!$B$6:$B$53"),_xlfn.XLOOKUP($C$10,INDIRECT("'"&amp;$B48&amp;" EI'!$D$4:$Z$4"),INDIRECT("'"&amp;$B48&amp;" EI'!$D$6:$Z$53")))*_xlfn.XLOOKUP($B48&amp;G$15,'Gas Useage'!$A$4:$A$15&amp;'Gas Useage'!$B$4:$B$15,_xlfn.XLOOKUP($C48&amp;G$14,'Gas Useage'!$C$2:$AB$2&amp;'Gas Useage'!$C$3:$AB$3,'Gas Useage'!$C$4:$AB$15))/_xlfn.XLOOKUP($B48&amp;G$15,'Gas Useage'!$A$4:$A$15&amp;'Gas Useage'!$B$4:$B$15,_xlfn.XLOOKUP(G$14,'Gas Useage'!$AA$3:$AB$3,'Gas Useage'!$AA$4:$AB$15))</f>
        <v>7.9121328653889138E-4</v>
      </c>
      <c r="H48" s="263">
        <f t="shared" ref="H48:K51" ca="1" si="0">IFERROR(SUM(D25:D48)/2,"--")</f>
        <v>1.428885534595236E-2</v>
      </c>
      <c r="I48" s="263">
        <f t="shared" ca="1" si="0"/>
        <v>2.1844020283032575E-2</v>
      </c>
      <c r="J48" s="263">
        <f t="shared" ca="1" si="0"/>
        <v>1.4456351811254833E-2</v>
      </c>
      <c r="K48" s="264">
        <f t="shared" ca="1" si="0"/>
        <v>2.142572872635563E-2</v>
      </c>
      <c r="N48" s="258"/>
    </row>
    <row r="49" spans="2:14" ht="13.5" hidden="1" x14ac:dyDescent="0.25">
      <c r="B49" s="495">
        <v>2022</v>
      </c>
      <c r="C49" s="284" t="s">
        <v>287</v>
      </c>
      <c r="D49" s="496" cm="1">
        <f t="array" aca="1" ref="D49" ca="1">_xlfn.XLOOKUP(D$13,INDIRECT("'"&amp;$B49&amp;" EI'!$B$6:$B$53"),_xlfn.XLOOKUP($C$10,INDIRECT("'"&amp;$B49&amp;" EI'!$D$4:$Z$4"),INDIRECT("'"&amp;$B49&amp;" EI'!$D$6:$Z$53")))*_xlfn.XLOOKUP($B49&amp;D$15,'Gas Useage'!$A$4:$A$15&amp;'Gas Useage'!$B$4:$B$15,_xlfn.XLOOKUP($C49&amp;D$14,'Gas Useage'!$C$2:$AB$2&amp;'Gas Useage'!$C$3:$AB$3,'Gas Useage'!$C$4:$AB$15))/_xlfn.XLOOKUP($B49&amp;D$15,'Gas Useage'!$A$4:$A$15&amp;'Gas Useage'!$B$4:$B$15,_xlfn.XLOOKUP(D$14,'Gas Useage'!$AA$3:$AB$3,'Gas Useage'!$AA$4:$AB$15))</f>
        <v>4.7938835852956007E-4</v>
      </c>
      <c r="E49" s="496" cm="1">
        <f t="array" aca="1" ref="E49" ca="1">_xlfn.XLOOKUP(E$13,INDIRECT("'"&amp;$B49&amp;" EI'!$B$6:$B$53"),_xlfn.XLOOKUP($C$10,INDIRECT("'"&amp;$B49&amp;" EI'!$D$4:$Z$4"),INDIRECT("'"&amp;$B49&amp;" EI'!$D$6:$Z$53")))*_xlfn.XLOOKUP($B49&amp;E$15,'Gas Useage'!$A$4:$A$15&amp;'Gas Useage'!$B$4:$B$15,_xlfn.XLOOKUP($C49&amp;E$14,'Gas Useage'!$C$2:$AB$2&amp;'Gas Useage'!$C$3:$AB$3,'Gas Useage'!$C$4:$AB$15))/_xlfn.XLOOKUP($B49&amp;E$15,'Gas Useage'!$A$4:$A$15&amp;'Gas Useage'!$B$4:$B$15,_xlfn.XLOOKUP(E$14,'Gas Useage'!$AA$3:$AB$3,'Gas Useage'!$AA$4:$AB$15))</f>
        <v>1.4825746078735193E-3</v>
      </c>
      <c r="F49" s="496" cm="1">
        <f t="array" aca="1" ref="F49" ca="1">_xlfn.XLOOKUP(F$13,INDIRECT("'"&amp;$B49&amp;" EI'!$B$6:$B$53"),_xlfn.XLOOKUP($C$10,INDIRECT("'"&amp;$B49&amp;" EI'!$D$4:$Z$4"),INDIRECT("'"&amp;$B49&amp;" EI'!$D$6:$Z$53")))*_xlfn.XLOOKUP($B49&amp;F$15,'Gas Useage'!$A$4:$A$15&amp;'Gas Useage'!$B$4:$B$15,_xlfn.XLOOKUP($C49&amp;F$14,'Gas Useage'!$C$2:$AB$2&amp;'Gas Useage'!$C$3:$AB$3,'Gas Useage'!$C$4:$AB$15))/_xlfn.XLOOKUP($B49&amp;F$15,'Gas Useage'!$A$4:$A$15&amp;'Gas Useage'!$B$4:$B$15,_xlfn.XLOOKUP(F$14,'Gas Useage'!$AA$3:$AB$3,'Gas Useage'!$AA$4:$AB$15))</f>
        <v>3.6203002320367748E-4</v>
      </c>
      <c r="G49" s="496" cm="1">
        <f t="array" aca="1" ref="G49" ca="1">_xlfn.XLOOKUP(G$13,INDIRECT("'"&amp;$B49&amp;" EI'!$B$6:$B$53"),_xlfn.XLOOKUP($C$10,INDIRECT("'"&amp;$B49&amp;" EI'!$D$4:$Z$4"),INDIRECT("'"&amp;$B49&amp;" EI'!$D$6:$Z$53")))*_xlfn.XLOOKUP($B49&amp;G$15,'Gas Useage'!$A$4:$A$15&amp;'Gas Useage'!$B$4:$B$15,_xlfn.XLOOKUP($C49&amp;G$14,'Gas Useage'!$C$2:$AB$2&amp;'Gas Useage'!$C$3:$AB$3,'Gas Useage'!$C$4:$AB$15))/_xlfn.XLOOKUP($B49&amp;G$15,'Gas Useage'!$A$4:$A$15&amp;'Gas Useage'!$B$4:$B$15,_xlfn.XLOOKUP(G$14,'Gas Useage'!$AA$3:$AB$3,'Gas Useage'!$AA$4:$AB$15))</f>
        <v>1.1196277718048444E-3</v>
      </c>
      <c r="H49" s="497">
        <f t="shared" ca="1" si="0"/>
        <v>1.4230709222122108E-2</v>
      </c>
      <c r="I49" s="497">
        <f t="shared" ca="1" si="0"/>
        <v>2.2111375664834905E-2</v>
      </c>
      <c r="J49" s="497">
        <f t="shared" ca="1" si="0"/>
        <v>1.3948564122238221E-2</v>
      </c>
      <c r="K49" s="498">
        <f t="shared" ca="1" si="0"/>
        <v>2.0889500255051201E-2</v>
      </c>
      <c r="N49" s="258"/>
    </row>
    <row r="50" spans="2:14" ht="13.5" hidden="1" x14ac:dyDescent="0.25">
      <c r="B50" s="283">
        <v>2022</v>
      </c>
      <c r="C50" s="284" t="s">
        <v>288</v>
      </c>
      <c r="D50" s="290" cm="1">
        <f t="array" aca="1" ref="D50" ca="1">_xlfn.XLOOKUP(D$13,INDIRECT("'"&amp;$B50&amp;" EI'!$B$6:$B$53"),_xlfn.XLOOKUP($C$10,INDIRECT("'"&amp;$B50&amp;" EI'!$D$4:$Z$4"),INDIRECT("'"&amp;$B50&amp;" EI'!$D$6:$Z$53")))*_xlfn.XLOOKUP($B50&amp;D$15,'Gas Useage'!$A$4:$A$15&amp;'Gas Useage'!$B$4:$B$15,_xlfn.XLOOKUP($C50&amp;D$14,'Gas Useage'!$C$2:$AB$2&amp;'Gas Useage'!$C$3:$AB$3,'Gas Useage'!$C$4:$AB$15))/_xlfn.XLOOKUP($B50&amp;D$15,'Gas Useage'!$A$4:$A$15&amp;'Gas Useage'!$B$4:$B$15,_xlfn.XLOOKUP(D$14,'Gas Useage'!$AA$3:$AB$3,'Gas Useage'!$AA$4:$AB$15))</f>
        <v>7.2976232590281992E-7</v>
      </c>
      <c r="E50" s="290" cm="1">
        <f t="array" aca="1" ref="E50" ca="1">_xlfn.XLOOKUP(E$13,INDIRECT("'"&amp;$B50&amp;" EI'!$B$6:$B$53"),_xlfn.XLOOKUP($C$10,INDIRECT("'"&amp;$B50&amp;" EI'!$D$4:$Z$4"),INDIRECT("'"&amp;$B50&amp;" EI'!$D$6:$Z$53")))*_xlfn.XLOOKUP($B50&amp;E$15,'Gas Useage'!$A$4:$A$15&amp;'Gas Useage'!$B$4:$B$15,_xlfn.XLOOKUP($C50&amp;E$14,'Gas Useage'!$C$2:$AB$2&amp;'Gas Useage'!$C$3:$AB$3,'Gas Useage'!$C$4:$AB$15))/_xlfn.XLOOKUP($B50&amp;E$15,'Gas Useage'!$A$4:$A$15&amp;'Gas Useage'!$B$4:$B$15,_xlfn.XLOOKUP(E$14,'Gas Useage'!$AA$3:$AB$3,'Gas Useage'!$AA$4:$AB$15))</f>
        <v>1.571450619918555E-6</v>
      </c>
      <c r="F50" s="290" cm="1">
        <f t="array" aca="1" ref="F50" ca="1">_xlfn.XLOOKUP(F$13,INDIRECT("'"&amp;$B50&amp;" EI'!$B$6:$B$53"),_xlfn.XLOOKUP($C$10,INDIRECT("'"&amp;$B50&amp;" EI'!$D$4:$Z$4"),INDIRECT("'"&amp;$B50&amp;" EI'!$D$6:$Z$53")))*_xlfn.XLOOKUP($B50&amp;F$15,'Gas Useage'!$A$4:$A$15&amp;'Gas Useage'!$B$4:$B$15,_xlfn.XLOOKUP($C50&amp;F$14,'Gas Useage'!$C$2:$AB$2&amp;'Gas Useage'!$C$3:$AB$3,'Gas Useage'!$C$4:$AB$15))/_xlfn.XLOOKUP($B50&amp;F$15,'Gas Useage'!$A$4:$A$15&amp;'Gas Useage'!$B$4:$B$15,_xlfn.XLOOKUP(F$14,'Gas Useage'!$AA$3:$AB$3,'Gas Useage'!$AA$4:$AB$15))</f>
        <v>6.1413717625355258E-7</v>
      </c>
      <c r="G50" s="290" cm="1">
        <f t="array" aca="1" ref="G50" ca="1">_xlfn.XLOOKUP(G$13,INDIRECT("'"&amp;$B50&amp;" EI'!$B$6:$B$53"),_xlfn.XLOOKUP($C$10,INDIRECT("'"&amp;$B50&amp;" EI'!$D$4:$Z$4"),INDIRECT("'"&amp;$B50&amp;" EI'!$D$6:$Z$53")))*_xlfn.XLOOKUP($B50&amp;G$15,'Gas Useage'!$A$4:$A$15&amp;'Gas Useage'!$B$4:$B$15,_xlfn.XLOOKUP($C50&amp;G$14,'Gas Useage'!$C$2:$AB$2&amp;'Gas Useage'!$C$3:$AB$3,'Gas Useage'!$C$4:$AB$15))/_xlfn.XLOOKUP($B50&amp;G$15,'Gas Useage'!$A$4:$A$15&amp;'Gas Useage'!$B$4:$B$15,_xlfn.XLOOKUP(G$14,'Gas Useage'!$AA$3:$AB$3,'Gas Useage'!$AA$4:$AB$15))</f>
        <v>1.3224665238024268E-6</v>
      </c>
      <c r="H50" s="291">
        <f t="shared" ca="1" si="0"/>
        <v>1.3588870218914679E-2</v>
      </c>
      <c r="I50" s="291">
        <f t="shared" ca="1" si="0"/>
        <v>2.0731610387828437E-2</v>
      </c>
      <c r="J50" s="291">
        <f t="shared" ca="1" si="0"/>
        <v>1.297676160414009E-2</v>
      </c>
      <c r="K50" s="292">
        <f t="shared" ca="1" si="0"/>
        <v>1.88004094688639E-2</v>
      </c>
      <c r="N50" s="258"/>
    </row>
    <row r="51" spans="2:14" ht="14.25" hidden="1" thickBot="1" x14ac:dyDescent="0.3">
      <c r="B51" s="285">
        <v>2022</v>
      </c>
      <c r="C51" s="286" t="s">
        <v>289</v>
      </c>
      <c r="D51" s="287" cm="1">
        <f t="array" aca="1" ref="D51" ca="1">_xlfn.XLOOKUP(D$13,INDIRECT("'"&amp;$B51&amp;" EI'!$B$6:$B$53"),_xlfn.XLOOKUP($C$10,INDIRECT("'"&amp;$B51&amp;" EI'!$D$4:$Z$4"),INDIRECT("'"&amp;$B51&amp;" EI'!$D$6:$Z$53")))*_xlfn.XLOOKUP($B51&amp;D$15,'Gas Useage'!$A$4:$A$15&amp;'Gas Useage'!$B$4:$B$15,_xlfn.XLOOKUP($C51&amp;D$14,'Gas Useage'!$C$2:$AB$2&amp;'Gas Useage'!$C$3:$AB$3,'Gas Useage'!$C$4:$AB$15))/_xlfn.XLOOKUP($B51&amp;D$15,'Gas Useage'!$A$4:$A$15&amp;'Gas Useage'!$B$4:$B$15,_xlfn.XLOOKUP(D$14,'Gas Useage'!$AA$3:$AB$3,'Gas Useage'!$AA$4:$AB$15))</f>
        <v>2.4440253810862672E-7</v>
      </c>
      <c r="E51" s="287" cm="1">
        <f t="array" aca="1" ref="E51" ca="1">_xlfn.XLOOKUP(E$13,INDIRECT("'"&amp;$B51&amp;" EI'!$B$6:$B$53"),_xlfn.XLOOKUP($C$10,INDIRECT("'"&amp;$B51&amp;" EI'!$D$4:$Z$4"),INDIRECT("'"&amp;$B51&amp;" EI'!$D$6:$Z$53")))*_xlfn.XLOOKUP($B51&amp;E$15,'Gas Useage'!$A$4:$A$15&amp;'Gas Useage'!$B$4:$B$15,_xlfn.XLOOKUP($C51&amp;E$14,'Gas Useage'!$C$2:$AB$2&amp;'Gas Useage'!$C$3:$AB$3,'Gas Useage'!$C$4:$AB$15))/_xlfn.XLOOKUP($B51&amp;E$15,'Gas Useage'!$A$4:$A$15&amp;'Gas Useage'!$B$4:$B$15,_xlfn.XLOOKUP(E$14,'Gas Useage'!$AA$3:$AB$3,'Gas Useage'!$AA$4:$AB$15))</f>
        <v>5.7386985325131906E-7</v>
      </c>
      <c r="F51" s="287" cm="1">
        <f t="array" aca="1" ref="F51" ca="1">_xlfn.XLOOKUP(F$13,INDIRECT("'"&amp;$B51&amp;" EI'!$B$6:$B$53"),_xlfn.XLOOKUP($C$10,INDIRECT("'"&amp;$B51&amp;" EI'!$D$4:$Z$4"),INDIRECT("'"&amp;$B51&amp;" EI'!$D$6:$Z$53")))*_xlfn.XLOOKUP($B51&amp;F$15,'Gas Useage'!$A$4:$A$15&amp;'Gas Useage'!$B$4:$B$15,_xlfn.XLOOKUP($C51&amp;F$14,'Gas Useage'!$C$2:$AB$2&amp;'Gas Useage'!$C$3:$AB$3,'Gas Useage'!$C$4:$AB$15))/_xlfn.XLOOKUP($B51&amp;F$15,'Gas Useage'!$A$4:$A$15&amp;'Gas Useage'!$B$4:$B$15,_xlfn.XLOOKUP(F$14,'Gas Useage'!$AA$3:$AB$3,'Gas Useage'!$AA$4:$AB$15))</f>
        <v>1.7688898782163654E-7</v>
      </c>
      <c r="G51" s="287" cm="1">
        <f t="array" aca="1" ref="G51" ca="1">_xlfn.XLOOKUP(G$13,INDIRECT("'"&amp;$B51&amp;" EI'!$B$6:$B$53"),_xlfn.XLOOKUP($C$10,INDIRECT("'"&amp;$B51&amp;" EI'!$D$4:$Z$4"),INDIRECT("'"&amp;$B51&amp;" EI'!$D$6:$Z$53")))*_xlfn.XLOOKUP($B51&amp;G$15,'Gas Useage'!$A$4:$A$15&amp;'Gas Useage'!$B$4:$B$15,_xlfn.XLOOKUP($C51&amp;G$14,'Gas Useage'!$C$2:$AB$2&amp;'Gas Useage'!$C$3:$AB$3,'Gas Useage'!$C$4:$AB$15))/_xlfn.XLOOKUP($B51&amp;G$15,'Gas Useage'!$A$4:$A$15&amp;'Gas Useage'!$B$4:$B$15,_xlfn.XLOOKUP(G$14,'Gas Useage'!$AA$3:$AB$3,'Gas Useage'!$AA$4:$AB$15))</f>
        <v>4.1534453066055884E-7</v>
      </c>
      <c r="H51" s="288">
        <f t="shared" ca="1" si="0"/>
        <v>1.2946788535813353E-2</v>
      </c>
      <c r="I51" s="288">
        <f t="shared" ca="1" si="0"/>
        <v>1.9351346320438629E-2</v>
      </c>
      <c r="J51" s="288">
        <f t="shared" ca="1" si="0"/>
        <v>1.200474046194774E-2</v>
      </c>
      <c r="K51" s="289">
        <f t="shared" ca="1" si="0"/>
        <v>1.6710865121680026E-2</v>
      </c>
      <c r="N51" s="258"/>
    </row>
    <row r="53" spans="2:14" x14ac:dyDescent="0.2">
      <c r="B53" s="265"/>
      <c r="C53" s="265"/>
    </row>
    <row r="54" spans="2:14" x14ac:dyDescent="0.2">
      <c r="B54" s="266"/>
      <c r="C54" s="266"/>
      <c r="D54" s="267"/>
      <c r="E54" s="267"/>
      <c r="F54" s="267"/>
      <c r="G54" s="267"/>
    </row>
    <row r="55" spans="2:14" x14ac:dyDescent="0.2">
      <c r="B55" s="266"/>
      <c r="C55" s="266"/>
      <c r="D55" s="267"/>
      <c r="E55" s="267"/>
      <c r="F55" s="267"/>
      <c r="G55" s="267"/>
    </row>
    <row r="56" spans="2:14" x14ac:dyDescent="0.2">
      <c r="B56" s="266"/>
      <c r="C56" s="266"/>
      <c r="D56" s="267"/>
      <c r="E56" s="267"/>
      <c r="F56" s="267"/>
      <c r="G56" s="267"/>
    </row>
    <row r="57" spans="2:14" x14ac:dyDescent="0.2">
      <c r="B57" s="266"/>
      <c r="C57" s="266"/>
      <c r="D57" s="267"/>
      <c r="E57" s="267"/>
      <c r="F57" s="267"/>
      <c r="G57" s="267"/>
    </row>
    <row r="58" spans="2:14" x14ac:dyDescent="0.2">
      <c r="B58" s="266"/>
      <c r="C58" s="266"/>
      <c r="D58" s="267"/>
      <c r="E58" s="267"/>
      <c r="F58" s="267"/>
      <c r="G58" s="267"/>
      <c r="H58" s="267"/>
      <c r="I58" s="267"/>
      <c r="J58" s="267"/>
      <c r="K58" s="267"/>
    </row>
    <row r="61" spans="2:14" x14ac:dyDescent="0.2">
      <c r="B61" s="265"/>
      <c r="C61" s="265"/>
      <c r="D61" s="268"/>
    </row>
    <row r="62" spans="2:14" x14ac:dyDescent="0.2">
      <c r="B62" s="266"/>
      <c r="C62" s="266"/>
    </row>
    <row r="63" spans="2:14" x14ac:dyDescent="0.2">
      <c r="B63" s="266"/>
      <c r="C63" s="266"/>
    </row>
    <row r="64" spans="2:14" x14ac:dyDescent="0.2">
      <c r="B64" s="266"/>
      <c r="C64" s="266"/>
    </row>
    <row r="65" spans="2:3" x14ac:dyDescent="0.2">
      <c r="B65" s="266"/>
      <c r="C65" s="266"/>
    </row>
    <row r="66" spans="2:3" x14ac:dyDescent="0.2">
      <c r="B66" s="266"/>
      <c r="C66" s="266"/>
    </row>
    <row r="68" spans="2:3" x14ac:dyDescent="0.2">
      <c r="B68" s="266"/>
      <c r="C68" s="266"/>
    </row>
    <row r="70" spans="2:3" x14ac:dyDescent="0.2">
      <c r="B70" s="265"/>
      <c r="C70" s="265"/>
    </row>
  </sheetData>
  <mergeCells count="2">
    <mergeCell ref="D12:G12"/>
    <mergeCell ref="H12:K12"/>
  </mergeCells>
  <pageMargins left="0.7" right="0.7" top="0.75" bottom="0.75" header="0.3" footer="0.3"/>
  <pageSetup scale="66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0125D-5F14-4062-AC50-80D400D2D42B}">
  <sheetPr>
    <tabColor theme="1"/>
  </sheetPr>
  <dimension ref="B1:U70"/>
  <sheetViews>
    <sheetView view="pageBreakPreview" zoomScale="60" zoomScaleNormal="100" workbookViewId="0">
      <selection activeCell="J40" sqref="J40:J41"/>
    </sheetView>
  </sheetViews>
  <sheetFormatPr defaultColWidth="9.140625" defaultRowHeight="12.75" x14ac:dyDescent="0.2"/>
  <cols>
    <col min="1" max="1" width="4.28515625" style="252" customWidth="1"/>
    <col min="2" max="2" width="12" style="252" customWidth="1"/>
    <col min="3" max="3" width="18.85546875" style="252" customWidth="1"/>
    <col min="4" max="7" width="8.85546875" style="252" bestFit="1" customWidth="1"/>
    <col min="8" max="13" width="9.140625" style="252"/>
    <col min="14" max="14" width="11.140625" style="252" bestFit="1" customWidth="1"/>
    <col min="15" max="15" width="17.28515625" style="252" customWidth="1"/>
    <col min="16" max="16" width="15.42578125" style="252" customWidth="1"/>
    <col min="17" max="16384" width="9.140625" style="252"/>
  </cols>
  <sheetData>
    <row r="1" spans="2:21" s="18" customFormat="1" x14ac:dyDescent="0.2">
      <c r="B1" s="28"/>
      <c r="C1" s="28"/>
      <c r="F1" s="19"/>
      <c r="G1" s="19"/>
    </row>
    <row r="2" spans="2:21" s="18" customFormat="1" x14ac:dyDescent="0.2">
      <c r="B2" s="28"/>
      <c r="C2" s="28"/>
      <c r="F2" s="19"/>
      <c r="G2" s="19"/>
    </row>
    <row r="3" spans="2:21" x14ac:dyDescent="0.2">
      <c r="B3" s="20"/>
      <c r="C3" s="20"/>
    </row>
    <row r="4" spans="2:21" x14ac:dyDescent="0.2">
      <c r="B4" s="24" t="s">
        <v>0</v>
      </c>
      <c r="C4" s="25" t="s">
        <v>261</v>
      </c>
    </row>
    <row r="5" spans="2:21" x14ac:dyDescent="0.2">
      <c r="B5" s="24" t="s">
        <v>79</v>
      </c>
      <c r="C5" s="25" t="s">
        <v>4</v>
      </c>
    </row>
    <row r="6" spans="2:21" x14ac:dyDescent="0.2">
      <c r="B6" s="24" t="s">
        <v>80</v>
      </c>
      <c r="C6" s="25" t="s">
        <v>262</v>
      </c>
    </row>
    <row r="7" spans="2:21" x14ac:dyDescent="0.2">
      <c r="B7" s="20"/>
      <c r="C7" s="20"/>
    </row>
    <row r="8" spans="2:21" x14ac:dyDescent="0.2">
      <c r="B8" s="26"/>
      <c r="C8" s="26"/>
    </row>
    <row r="9" spans="2:21" x14ac:dyDescent="0.2">
      <c r="B9" s="26"/>
      <c r="C9" s="26"/>
    </row>
    <row r="10" spans="2:21" x14ac:dyDescent="0.2">
      <c r="B10" s="27" t="s">
        <v>263</v>
      </c>
      <c r="C10" s="35" t="s">
        <v>293</v>
      </c>
    </row>
    <row r="11" spans="2:21" s="253" customFormat="1" ht="15" customHeight="1" thickBot="1" x14ac:dyDescent="0.25">
      <c r="O11" s="252"/>
      <c r="P11" s="252"/>
      <c r="Q11" s="252"/>
      <c r="R11" s="252"/>
      <c r="S11" s="252"/>
      <c r="T11" s="252"/>
      <c r="U11" s="252"/>
    </row>
    <row r="12" spans="2:21" ht="16.5" customHeight="1" thickBot="1" x14ac:dyDescent="0.25">
      <c r="B12" s="30"/>
      <c r="C12" s="30"/>
      <c r="D12" s="552" t="s">
        <v>265</v>
      </c>
      <c r="E12" s="553"/>
      <c r="F12" s="553"/>
      <c r="G12" s="554"/>
      <c r="H12" s="552" t="s">
        <v>266</v>
      </c>
      <c r="I12" s="553"/>
      <c r="J12" s="553"/>
      <c r="K12" s="554"/>
      <c r="L12" s="254"/>
    </row>
    <row r="13" spans="2:21" ht="27.75" thickBot="1" x14ac:dyDescent="0.25">
      <c r="B13" s="29" t="s">
        <v>267</v>
      </c>
      <c r="C13" s="29" t="s">
        <v>268</v>
      </c>
      <c r="D13" s="531" t="s">
        <v>269</v>
      </c>
      <c r="E13" s="532" t="s">
        <v>270</v>
      </c>
      <c r="F13" s="532" t="s">
        <v>271</v>
      </c>
      <c r="G13" s="533" t="s">
        <v>272</v>
      </c>
      <c r="H13" s="531" t="s">
        <v>269</v>
      </c>
      <c r="I13" s="532" t="s">
        <v>270</v>
      </c>
      <c r="J13" s="532" t="s">
        <v>271</v>
      </c>
      <c r="K13" s="533" t="s">
        <v>272</v>
      </c>
    </row>
    <row r="14" spans="2:21" ht="27.75" thickBot="1" x14ac:dyDescent="0.25">
      <c r="B14" s="199"/>
      <c r="C14" s="199"/>
      <c r="D14" s="531" t="s">
        <v>273</v>
      </c>
      <c r="E14" s="532" t="s">
        <v>274</v>
      </c>
      <c r="F14" s="532" t="s">
        <v>273</v>
      </c>
      <c r="G14" s="533" t="s">
        <v>274</v>
      </c>
      <c r="H14" s="531"/>
      <c r="I14" s="532"/>
      <c r="J14" s="532"/>
      <c r="K14" s="533"/>
    </row>
    <row r="15" spans="2:21" ht="14.25" thickBot="1" x14ac:dyDescent="0.25">
      <c r="B15" s="199"/>
      <c r="C15" s="199"/>
      <c r="D15" s="534" t="s">
        <v>275</v>
      </c>
      <c r="E15" s="535" t="s">
        <v>275</v>
      </c>
      <c r="F15" s="535" t="s">
        <v>276</v>
      </c>
      <c r="G15" s="536" t="s">
        <v>276</v>
      </c>
      <c r="H15" s="534"/>
      <c r="I15" s="535"/>
      <c r="J15" s="535"/>
      <c r="K15" s="536"/>
    </row>
    <row r="16" spans="2:21" ht="13.5" hidden="1" x14ac:dyDescent="0.25">
      <c r="B16" s="31">
        <v>2020</v>
      </c>
      <c r="C16" s="197" t="s">
        <v>277</v>
      </c>
      <c r="D16" s="255">
        <v>0.44564658621372344</v>
      </c>
      <c r="E16" s="255">
        <v>3.1091258725553418E-4</v>
      </c>
      <c r="F16" s="255">
        <v>0.57950091791661207</v>
      </c>
      <c r="G16" s="255">
        <v>4.0703015184178764E-4</v>
      </c>
      <c r="H16" s="256" t="s">
        <v>278</v>
      </c>
      <c r="I16" s="256" t="s">
        <v>278</v>
      </c>
      <c r="J16" s="256" t="s">
        <v>278</v>
      </c>
      <c r="K16" s="257" t="s">
        <v>278</v>
      </c>
      <c r="N16" s="258"/>
    </row>
    <row r="17" spans="2:14" ht="13.5" hidden="1" x14ac:dyDescent="0.25">
      <c r="B17" s="32">
        <v>2020</v>
      </c>
      <c r="C17" s="198" t="s">
        <v>279</v>
      </c>
      <c r="D17" s="259">
        <v>0.73878803136018101</v>
      </c>
      <c r="E17" s="259">
        <v>6.4520789776389563E-4</v>
      </c>
      <c r="F17" s="259">
        <v>0.59851026327958534</v>
      </c>
      <c r="G17" s="259">
        <v>5.2623067315165208E-4</v>
      </c>
      <c r="H17" s="260" t="s">
        <v>278</v>
      </c>
      <c r="I17" s="260" t="s">
        <v>278</v>
      </c>
      <c r="J17" s="260" t="s">
        <v>278</v>
      </c>
      <c r="K17" s="261" t="s">
        <v>278</v>
      </c>
      <c r="N17" s="258"/>
    </row>
    <row r="18" spans="2:14" ht="13.5" hidden="1" x14ac:dyDescent="0.25">
      <c r="B18" s="32">
        <v>2020</v>
      </c>
      <c r="C18" s="198" t="s">
        <v>280</v>
      </c>
      <c r="D18" s="259">
        <v>0.75407550470397766</v>
      </c>
      <c r="E18" s="259">
        <v>6.8782365879573981E-4</v>
      </c>
      <c r="F18" s="259">
        <v>0.46558556205566692</v>
      </c>
      <c r="G18" s="259">
        <v>4.2754960920969343E-4</v>
      </c>
      <c r="H18" s="260" t="s">
        <v>278</v>
      </c>
      <c r="I18" s="260" t="s">
        <v>278</v>
      </c>
      <c r="J18" s="260" t="s">
        <v>278</v>
      </c>
      <c r="K18" s="261" t="s">
        <v>278</v>
      </c>
      <c r="N18" s="258"/>
    </row>
    <row r="19" spans="2:14" ht="13.5" hidden="1" x14ac:dyDescent="0.25">
      <c r="B19" s="32">
        <v>2020</v>
      </c>
      <c r="C19" s="198" t="s">
        <v>281</v>
      </c>
      <c r="D19" s="259">
        <v>0.29220307571018617</v>
      </c>
      <c r="E19" s="259">
        <v>2.7275707613994655E-4</v>
      </c>
      <c r="F19" s="259">
        <v>0.29121159653469741</v>
      </c>
      <c r="G19" s="259">
        <v>2.7366839279928466E-4</v>
      </c>
      <c r="H19" s="260" t="s">
        <v>278</v>
      </c>
      <c r="I19" s="260" t="s">
        <v>278</v>
      </c>
      <c r="J19" s="260" t="s">
        <v>278</v>
      </c>
      <c r="K19" s="261" t="s">
        <v>278</v>
      </c>
      <c r="N19" s="258"/>
    </row>
    <row r="20" spans="2:14" ht="13.5" hidden="1" x14ac:dyDescent="0.25">
      <c r="B20" s="32">
        <v>2020</v>
      </c>
      <c r="C20" s="198" t="s">
        <v>282</v>
      </c>
      <c r="D20" s="259">
        <v>1.8314573579791642E-2</v>
      </c>
      <c r="E20" s="259">
        <v>9.9629982256959002E-6</v>
      </c>
      <c r="F20" s="259">
        <v>8.7880434697298243E-6</v>
      </c>
      <c r="G20" s="259">
        <v>4.8129369351860898E-9</v>
      </c>
      <c r="H20" s="260" t="s">
        <v>278</v>
      </c>
      <c r="I20" s="260" t="s">
        <v>278</v>
      </c>
      <c r="J20" s="260" t="s">
        <v>278</v>
      </c>
      <c r="K20" s="261" t="s">
        <v>278</v>
      </c>
      <c r="N20" s="258"/>
    </row>
    <row r="21" spans="2:14" ht="13.5" hidden="1" x14ac:dyDescent="0.25">
      <c r="B21" s="32">
        <v>2020</v>
      </c>
      <c r="C21" s="198" t="s">
        <v>283</v>
      </c>
      <c r="D21" s="259">
        <v>0</v>
      </c>
      <c r="E21" s="259">
        <v>0</v>
      </c>
      <c r="F21" s="259">
        <v>0</v>
      </c>
      <c r="G21" s="259">
        <v>0</v>
      </c>
      <c r="H21" s="260" t="s">
        <v>278</v>
      </c>
      <c r="I21" s="260" t="s">
        <v>278</v>
      </c>
      <c r="J21" s="260" t="s">
        <v>278</v>
      </c>
      <c r="K21" s="261" t="s">
        <v>278</v>
      </c>
      <c r="N21" s="258"/>
    </row>
    <row r="22" spans="2:14" ht="13.5" hidden="1" x14ac:dyDescent="0.25">
      <c r="B22" s="32">
        <v>2020</v>
      </c>
      <c r="C22" s="198" t="s">
        <v>284</v>
      </c>
      <c r="D22" s="259">
        <v>0.73630585812202198</v>
      </c>
      <c r="E22" s="259">
        <v>6.3895195396673462E-4</v>
      </c>
      <c r="F22" s="259">
        <v>0.45970316178368781</v>
      </c>
      <c r="G22" s="259">
        <v>4.0161707664268775E-4</v>
      </c>
      <c r="H22" s="260" t="s">
        <v>278</v>
      </c>
      <c r="I22" s="260" t="s">
        <v>278</v>
      </c>
      <c r="J22" s="260" t="s">
        <v>278</v>
      </c>
      <c r="K22" s="261" t="s">
        <v>278</v>
      </c>
      <c r="N22" s="258"/>
    </row>
    <row r="23" spans="2:14" ht="13.5" hidden="1" x14ac:dyDescent="0.25">
      <c r="B23" s="32">
        <v>2020</v>
      </c>
      <c r="C23" s="198" t="s">
        <v>285</v>
      </c>
      <c r="D23" s="259">
        <v>0.74057978699174065</v>
      </c>
      <c r="E23" s="259">
        <v>4.8865079131996103E-4</v>
      </c>
      <c r="F23" s="259">
        <v>8.5223805628388813E-2</v>
      </c>
      <c r="G23" s="259">
        <v>5.6612509747254978E-5</v>
      </c>
      <c r="H23" s="260" t="s">
        <v>278</v>
      </c>
      <c r="I23" s="260" t="s">
        <v>278</v>
      </c>
      <c r="J23" s="260" t="s">
        <v>278</v>
      </c>
      <c r="K23" s="261" t="s">
        <v>278</v>
      </c>
      <c r="N23" s="258"/>
    </row>
    <row r="24" spans="2:14" ht="13.5" hidden="1" x14ac:dyDescent="0.25">
      <c r="B24" s="32">
        <v>2020</v>
      </c>
      <c r="C24" s="198" t="s">
        <v>286</v>
      </c>
      <c r="D24" s="259">
        <v>0.20330579347583622</v>
      </c>
      <c r="E24" s="259">
        <v>2.1883211075417658E-4</v>
      </c>
      <c r="F24" s="259">
        <v>1.3824767356412256E-3</v>
      </c>
      <c r="G24" s="259">
        <v>1.4981105398861224E-6</v>
      </c>
      <c r="H24" s="260" t="s">
        <v>278</v>
      </c>
      <c r="I24" s="260" t="s">
        <v>278</v>
      </c>
      <c r="J24" s="260" t="s">
        <v>278</v>
      </c>
      <c r="K24" s="261" t="s">
        <v>278</v>
      </c>
      <c r="N24" s="258"/>
    </row>
    <row r="25" spans="2:14" ht="13.5" x14ac:dyDescent="0.25">
      <c r="B25" s="32">
        <v>2020</v>
      </c>
      <c r="C25" s="494" t="s">
        <v>287</v>
      </c>
      <c r="D25" s="259">
        <v>0.23648862614469521</v>
      </c>
      <c r="E25" s="259">
        <v>1.7772447080040843E-4</v>
      </c>
      <c r="F25" s="259">
        <v>0.54324645543688599</v>
      </c>
      <c r="G25" s="259">
        <v>4.1101588395256884E-4</v>
      </c>
      <c r="H25" s="260" t="s">
        <v>278</v>
      </c>
      <c r="I25" s="260" t="s">
        <v>278</v>
      </c>
      <c r="J25" s="260" t="s">
        <v>278</v>
      </c>
      <c r="K25" s="261" t="s">
        <v>278</v>
      </c>
      <c r="N25" s="258"/>
    </row>
    <row r="26" spans="2:14" ht="13.5" x14ac:dyDescent="0.25">
      <c r="B26" s="32">
        <v>2020</v>
      </c>
      <c r="C26" s="494" t="s">
        <v>288</v>
      </c>
      <c r="D26" s="259">
        <v>0.50991727023282718</v>
      </c>
      <c r="E26" s="259">
        <v>5.1770662586866087E-4</v>
      </c>
      <c r="F26" s="259">
        <v>0.76668556437041868</v>
      </c>
      <c r="G26" s="259">
        <v>7.8365700729345154E-4</v>
      </c>
      <c r="H26" s="260" t="s">
        <v>278</v>
      </c>
      <c r="I26" s="260" t="s">
        <v>278</v>
      </c>
      <c r="J26" s="260" t="s">
        <v>278</v>
      </c>
      <c r="K26" s="261" t="s">
        <v>278</v>
      </c>
      <c r="N26" s="258"/>
    </row>
    <row r="27" spans="2:14" ht="13.5" x14ac:dyDescent="0.25">
      <c r="B27" s="32">
        <v>2020</v>
      </c>
      <c r="C27" s="494" t="s">
        <v>289</v>
      </c>
      <c r="D27" s="259">
        <v>0.50991727023282718</v>
      </c>
      <c r="E27" s="259">
        <v>5.1770662586866087E-4</v>
      </c>
      <c r="F27" s="259">
        <v>0.76668556437041868</v>
      </c>
      <c r="G27" s="259">
        <v>7.8365700729345154E-4</v>
      </c>
      <c r="H27" s="260" t="s">
        <v>278</v>
      </c>
      <c r="I27" s="260" t="s">
        <v>278</v>
      </c>
      <c r="J27" s="260" t="s">
        <v>278</v>
      </c>
      <c r="K27" s="261" t="s">
        <v>278</v>
      </c>
      <c r="N27" s="258"/>
    </row>
    <row r="28" spans="2:14" ht="13.5" x14ac:dyDescent="0.25">
      <c r="B28" s="32">
        <v>2021</v>
      </c>
      <c r="C28" s="494" t="s">
        <v>277</v>
      </c>
      <c r="D28" s="259">
        <v>0.75769737981695273</v>
      </c>
      <c r="E28" s="259">
        <v>2.462903929920905E-4</v>
      </c>
      <c r="F28" s="259">
        <v>0.93678273611075824</v>
      </c>
      <c r="G28" s="259">
        <v>3.0510393988876061E-4</v>
      </c>
      <c r="H28" s="260" t="s">
        <v>278</v>
      </c>
      <c r="I28" s="260" t="s">
        <v>278</v>
      </c>
      <c r="J28" s="260" t="s">
        <v>278</v>
      </c>
      <c r="K28" s="261" t="s">
        <v>278</v>
      </c>
      <c r="N28" s="258"/>
    </row>
    <row r="29" spans="2:14" ht="13.5" x14ac:dyDescent="0.25">
      <c r="B29" s="32">
        <v>2021</v>
      </c>
      <c r="C29" s="494" t="s">
        <v>279</v>
      </c>
      <c r="D29" s="259">
        <v>0.51424663367911561</v>
      </c>
      <c r="E29" s="259">
        <v>3.5634297011999361E-4</v>
      </c>
      <c r="F29" s="259">
        <v>0.70372913729696596</v>
      </c>
      <c r="G29" s="259">
        <v>4.8860681716065418E-4</v>
      </c>
      <c r="H29" s="260" t="s">
        <v>278</v>
      </c>
      <c r="I29" s="260" t="s">
        <v>278</v>
      </c>
      <c r="J29" s="260" t="s">
        <v>278</v>
      </c>
      <c r="K29" s="261" t="s">
        <v>278</v>
      </c>
      <c r="N29" s="258"/>
    </row>
    <row r="30" spans="2:14" ht="13.5" x14ac:dyDescent="0.25">
      <c r="B30" s="32">
        <v>2021</v>
      </c>
      <c r="C30" s="494" t="s">
        <v>280</v>
      </c>
      <c r="D30" s="259">
        <v>1.0748783774115864</v>
      </c>
      <c r="E30" s="259">
        <v>5.8234624039838585E-4</v>
      </c>
      <c r="F30" s="259">
        <v>0.74132848528108586</v>
      </c>
      <c r="G30" s="259">
        <v>4.0242957359819535E-4</v>
      </c>
      <c r="H30" s="260" t="s">
        <v>278</v>
      </c>
      <c r="I30" s="260" t="s">
        <v>278</v>
      </c>
      <c r="J30" s="260" t="s">
        <v>278</v>
      </c>
      <c r="K30" s="261" t="s">
        <v>278</v>
      </c>
      <c r="N30" s="258"/>
    </row>
    <row r="31" spans="2:14" ht="13.5" x14ac:dyDescent="0.25">
      <c r="B31" s="32">
        <v>2021</v>
      </c>
      <c r="C31" s="494" t="s">
        <v>281</v>
      </c>
      <c r="D31" s="259">
        <v>0.48236702852975966</v>
      </c>
      <c r="E31" s="259">
        <v>2.1393004342199962E-4</v>
      </c>
      <c r="F31" s="259">
        <v>0.70478913663134846</v>
      </c>
      <c r="G31" s="259">
        <v>3.1319196894702612E-4</v>
      </c>
      <c r="H31" s="260" t="s">
        <v>278</v>
      </c>
      <c r="I31" s="260" t="s">
        <v>278</v>
      </c>
      <c r="J31" s="260" t="s">
        <v>278</v>
      </c>
      <c r="K31" s="261" t="s">
        <v>278</v>
      </c>
      <c r="N31" s="258"/>
    </row>
    <row r="32" spans="2:14" ht="13.5" x14ac:dyDescent="0.25">
      <c r="B32" s="32">
        <v>2021</v>
      </c>
      <c r="C32" s="494" t="s">
        <v>282</v>
      </c>
      <c r="D32" s="259">
        <v>0.35226733346436123</v>
      </c>
      <c r="E32" s="259">
        <v>1.4071974838651916E-4</v>
      </c>
      <c r="F32" s="259">
        <v>0.67829218511603195</v>
      </c>
      <c r="G32" s="259">
        <v>2.7149181590154555E-4</v>
      </c>
      <c r="H32" s="260" t="s">
        <v>278</v>
      </c>
      <c r="I32" s="260" t="s">
        <v>278</v>
      </c>
      <c r="J32" s="260" t="s">
        <v>278</v>
      </c>
      <c r="K32" s="261" t="s">
        <v>278</v>
      </c>
      <c r="N32" s="258"/>
    </row>
    <row r="33" spans="2:14" ht="13.5" x14ac:dyDescent="0.25">
      <c r="B33" s="32">
        <v>2021</v>
      </c>
      <c r="C33" s="494" t="s">
        <v>283</v>
      </c>
      <c r="D33" s="259">
        <v>0.15989551446075778</v>
      </c>
      <c r="E33" s="259">
        <v>4.8510851392883062E-5</v>
      </c>
      <c r="F33" s="259">
        <v>0.3232917781399936</v>
      </c>
      <c r="G33" s="259">
        <v>9.8277596564441043E-5</v>
      </c>
      <c r="H33" s="260" t="s">
        <v>278</v>
      </c>
      <c r="I33" s="260" t="s">
        <v>278</v>
      </c>
      <c r="J33" s="260" t="s">
        <v>278</v>
      </c>
      <c r="K33" s="261" t="s">
        <v>278</v>
      </c>
      <c r="N33" s="258"/>
    </row>
    <row r="34" spans="2:14" ht="13.5" x14ac:dyDescent="0.25">
      <c r="B34" s="32">
        <v>2021</v>
      </c>
      <c r="C34" s="494" t="s">
        <v>284</v>
      </c>
      <c r="D34" s="259">
        <v>0.35751474141543943</v>
      </c>
      <c r="E34" s="259">
        <v>8.1589492621806866E-5</v>
      </c>
      <c r="F34" s="259">
        <v>0.39862833317261687</v>
      </c>
      <c r="G34" s="259">
        <v>9.1151893201372249E-5</v>
      </c>
      <c r="H34" s="260" t="s">
        <v>278</v>
      </c>
      <c r="I34" s="260" t="s">
        <v>278</v>
      </c>
      <c r="J34" s="260" t="s">
        <v>278</v>
      </c>
      <c r="K34" s="261" t="s">
        <v>278</v>
      </c>
      <c r="N34" s="258"/>
    </row>
    <row r="35" spans="2:14" ht="13.5" x14ac:dyDescent="0.25">
      <c r="B35" s="32">
        <v>2021</v>
      </c>
      <c r="C35" s="494" t="s">
        <v>285</v>
      </c>
      <c r="D35" s="259">
        <v>0.43102207263143216</v>
      </c>
      <c r="E35" s="259">
        <v>2.7275294946450069E-4</v>
      </c>
      <c r="F35" s="259">
        <v>0.36687942695718506</v>
      </c>
      <c r="G35" s="259">
        <v>2.326218764742005E-4</v>
      </c>
      <c r="H35" s="260" t="s">
        <v>278</v>
      </c>
      <c r="I35" s="260" t="s">
        <v>278</v>
      </c>
      <c r="J35" s="260" t="s">
        <v>278</v>
      </c>
      <c r="K35" s="261" t="s">
        <v>278</v>
      </c>
      <c r="N35" s="258"/>
    </row>
    <row r="36" spans="2:14" ht="13.5" x14ac:dyDescent="0.25">
      <c r="B36" s="32">
        <v>2021</v>
      </c>
      <c r="C36" s="494" t="s">
        <v>286</v>
      </c>
      <c r="D36" s="259">
        <v>0.25789476578973275</v>
      </c>
      <c r="E36" s="259">
        <v>1.4613914415294427E-4</v>
      </c>
      <c r="F36" s="259">
        <v>0.20499907267300127</v>
      </c>
      <c r="G36" s="259">
        <v>1.1639469303036682E-4</v>
      </c>
      <c r="H36" s="260" t="s">
        <v>278</v>
      </c>
      <c r="I36" s="260" t="s">
        <v>278</v>
      </c>
      <c r="J36" s="260" t="s">
        <v>278</v>
      </c>
      <c r="K36" s="261" t="s">
        <v>278</v>
      </c>
      <c r="N36" s="258"/>
    </row>
    <row r="37" spans="2:14" ht="13.5" x14ac:dyDescent="0.25">
      <c r="B37" s="32">
        <v>2021</v>
      </c>
      <c r="C37" s="494" t="s">
        <v>287</v>
      </c>
      <c r="D37" s="259">
        <v>0.27556360004763669</v>
      </c>
      <c r="E37" s="259">
        <v>1.3932902666192518E-4</v>
      </c>
      <c r="F37" s="259">
        <v>0.2239667291563201</v>
      </c>
      <c r="G37" s="259">
        <v>1.1346463276225288E-4</v>
      </c>
      <c r="H37" s="260" t="s">
        <v>278</v>
      </c>
      <c r="I37" s="260" t="s">
        <v>278</v>
      </c>
      <c r="J37" s="260" t="s">
        <v>278</v>
      </c>
      <c r="K37" s="261" t="s">
        <v>278</v>
      </c>
      <c r="N37" s="258"/>
    </row>
    <row r="38" spans="2:14" ht="13.5" x14ac:dyDescent="0.25">
      <c r="B38" s="32">
        <v>2021</v>
      </c>
      <c r="C38" s="494" t="s">
        <v>288</v>
      </c>
      <c r="D38" s="259">
        <v>0.86827067154685411</v>
      </c>
      <c r="E38" s="259">
        <v>6.5969498898074913E-4</v>
      </c>
      <c r="F38" s="259">
        <v>0.78965589826772353</v>
      </c>
      <c r="G38" s="259">
        <v>6.0115046609497127E-4</v>
      </c>
      <c r="H38" s="260" t="s">
        <v>278</v>
      </c>
      <c r="I38" s="260" t="s">
        <v>278</v>
      </c>
      <c r="J38" s="260" t="s">
        <v>278</v>
      </c>
      <c r="K38" s="261" t="s">
        <v>278</v>
      </c>
      <c r="N38" s="258"/>
    </row>
    <row r="39" spans="2:14" ht="13.5" x14ac:dyDescent="0.25">
      <c r="B39" s="32">
        <v>2021</v>
      </c>
      <c r="C39" s="494" t="s">
        <v>289</v>
      </c>
      <c r="D39" s="259">
        <v>0.52085739712608026</v>
      </c>
      <c r="E39" s="259">
        <v>3.7860987917978097E-4</v>
      </c>
      <c r="F39" s="259">
        <v>0.50491407342928929</v>
      </c>
      <c r="G39" s="259">
        <v>3.67745894124407E-4</v>
      </c>
      <c r="H39" s="260" t="s">
        <v>278</v>
      </c>
      <c r="I39" s="260" t="s">
        <v>278</v>
      </c>
      <c r="J39" s="260" t="s">
        <v>278</v>
      </c>
      <c r="K39" s="261" t="s">
        <v>278</v>
      </c>
      <c r="N39" s="258"/>
    </row>
    <row r="40" spans="2:14" ht="13.5" x14ac:dyDescent="0.25">
      <c r="B40" s="32">
        <v>2022</v>
      </c>
      <c r="C40" s="494" t="s">
        <v>277</v>
      </c>
      <c r="D40" s="259">
        <v>0.67032962984279509</v>
      </c>
      <c r="E40" s="259">
        <v>5.3629985949744854E-4</v>
      </c>
      <c r="F40" s="259">
        <v>0.59715382178743281</v>
      </c>
      <c r="G40" s="259">
        <v>4.7686477813181432E-4</v>
      </c>
      <c r="H40" s="260" t="s">
        <v>278</v>
      </c>
      <c r="I40" s="260" t="s">
        <v>278</v>
      </c>
      <c r="J40" s="260" t="s">
        <v>278</v>
      </c>
      <c r="K40" s="261" t="s">
        <v>278</v>
      </c>
      <c r="L40" s="258"/>
      <c r="N40" s="258"/>
    </row>
    <row r="41" spans="2:14" ht="13.5" x14ac:dyDescent="0.25">
      <c r="B41" s="32">
        <v>2022</v>
      </c>
      <c r="C41" s="494" t="s">
        <v>279</v>
      </c>
      <c r="D41" s="259">
        <v>0.63898853919660525</v>
      </c>
      <c r="E41" s="259">
        <v>4.5739956506177633E-4</v>
      </c>
      <c r="F41" s="259">
        <v>0.42931504485505528</v>
      </c>
      <c r="G41" s="259">
        <v>3.067386838682141E-4</v>
      </c>
      <c r="H41" s="260" t="s">
        <v>278</v>
      </c>
      <c r="I41" s="260" t="s">
        <v>278</v>
      </c>
      <c r="J41" s="260" t="s">
        <v>278</v>
      </c>
      <c r="K41" s="261" t="s">
        <v>278</v>
      </c>
      <c r="L41" s="258"/>
      <c r="N41" s="258"/>
    </row>
    <row r="42" spans="2:14" ht="13.5" x14ac:dyDescent="0.25">
      <c r="B42" s="32">
        <v>2022</v>
      </c>
      <c r="C42" s="494" t="s">
        <v>280</v>
      </c>
      <c r="D42" s="259">
        <v>0.74044771006276855</v>
      </c>
      <c r="E42" s="259">
        <v>4.7445348125484457E-4</v>
      </c>
      <c r="F42" s="259">
        <v>0.35145566326019773</v>
      </c>
      <c r="G42" s="259">
        <v>2.2478097581242663E-4</v>
      </c>
      <c r="H42" s="260" t="s">
        <v>278</v>
      </c>
      <c r="I42" s="260" t="s">
        <v>278</v>
      </c>
      <c r="J42" s="260" t="s">
        <v>278</v>
      </c>
      <c r="K42" s="261" t="s">
        <v>278</v>
      </c>
      <c r="L42" s="258"/>
      <c r="N42" s="258"/>
    </row>
    <row r="43" spans="2:14" ht="13.5" x14ac:dyDescent="0.25">
      <c r="B43" s="32">
        <v>2022</v>
      </c>
      <c r="C43" s="494" t="s">
        <v>281</v>
      </c>
      <c r="D43" s="259">
        <v>0.75908417706186015</v>
      </c>
      <c r="E43" s="259">
        <v>5.3694252731600737E-4</v>
      </c>
      <c r="F43" s="259">
        <v>0.61336336198204755</v>
      </c>
      <c r="G43" s="259">
        <v>4.3305739367338082E-4</v>
      </c>
      <c r="H43" s="260" t="s">
        <v>278</v>
      </c>
      <c r="I43" s="260" t="s">
        <v>278</v>
      </c>
      <c r="J43" s="260" t="s">
        <v>278</v>
      </c>
      <c r="K43" s="261" t="s">
        <v>278</v>
      </c>
      <c r="L43" s="258"/>
      <c r="N43" s="258"/>
    </row>
    <row r="44" spans="2:14" ht="13.5" x14ac:dyDescent="0.25">
      <c r="B44" s="32">
        <v>2022</v>
      </c>
      <c r="C44" s="494" t="s">
        <v>282</v>
      </c>
      <c r="D44" s="259">
        <v>0.52198192067714222</v>
      </c>
      <c r="E44" s="259">
        <v>3.8476259375043475E-4</v>
      </c>
      <c r="F44" s="259">
        <v>0.30313619535684966</v>
      </c>
      <c r="G44" s="259">
        <v>2.2303085092674038E-4</v>
      </c>
      <c r="H44" s="260" t="s">
        <v>278</v>
      </c>
      <c r="I44" s="260" t="s">
        <v>278</v>
      </c>
      <c r="J44" s="260" t="s">
        <v>278</v>
      </c>
      <c r="K44" s="261" t="s">
        <v>278</v>
      </c>
      <c r="L44" s="258"/>
      <c r="N44" s="258"/>
    </row>
    <row r="45" spans="2:14" ht="13.5" x14ac:dyDescent="0.25">
      <c r="B45" s="32">
        <v>2022</v>
      </c>
      <c r="C45" s="494" t="s">
        <v>283</v>
      </c>
      <c r="D45" s="259">
        <v>0.13320990850548872</v>
      </c>
      <c r="E45" s="259">
        <v>1.0263498614122549E-4</v>
      </c>
      <c r="F45" s="259">
        <v>9.2302827890066885E-2</v>
      </c>
      <c r="G45" s="259">
        <v>7.0984522937571863E-5</v>
      </c>
      <c r="H45" s="260" t="s">
        <v>278</v>
      </c>
      <c r="I45" s="260" t="s">
        <v>278</v>
      </c>
      <c r="J45" s="260" t="s">
        <v>278</v>
      </c>
      <c r="K45" s="261" t="s">
        <v>278</v>
      </c>
      <c r="L45" s="258"/>
      <c r="N45" s="258"/>
    </row>
    <row r="46" spans="2:14" ht="13.5" x14ac:dyDescent="0.25">
      <c r="B46" s="32">
        <v>2022</v>
      </c>
      <c r="C46" s="494" t="s">
        <v>284</v>
      </c>
      <c r="D46" s="259">
        <v>0.38597691306320969</v>
      </c>
      <c r="E46" s="259">
        <v>3.4277377352984916E-4</v>
      </c>
      <c r="F46" s="259">
        <v>0.3655302523770802</v>
      </c>
      <c r="G46" s="259">
        <v>3.2401069568364324E-4</v>
      </c>
      <c r="H46" s="260" t="s">
        <v>278</v>
      </c>
      <c r="I46" s="260" t="s">
        <v>278</v>
      </c>
      <c r="J46" s="260" t="s">
        <v>278</v>
      </c>
      <c r="K46" s="261" t="s">
        <v>278</v>
      </c>
      <c r="L46" s="258"/>
      <c r="N46" s="258"/>
    </row>
    <row r="47" spans="2:14" ht="13.5" x14ac:dyDescent="0.25">
      <c r="B47" s="32">
        <v>2022</v>
      </c>
      <c r="C47" s="494" t="s">
        <v>285</v>
      </c>
      <c r="D47" s="259">
        <v>0.9772297836891245</v>
      </c>
      <c r="E47" s="259">
        <v>6.1508682074061093E-4</v>
      </c>
      <c r="F47" s="259">
        <v>0.71129312873191519</v>
      </c>
      <c r="G47" s="259">
        <v>4.4686681383586185E-4</v>
      </c>
      <c r="H47" s="260" t="s">
        <v>278</v>
      </c>
      <c r="I47" s="260" t="s">
        <v>278</v>
      </c>
      <c r="J47" s="260" t="s">
        <v>278</v>
      </c>
      <c r="K47" s="261" t="s">
        <v>278</v>
      </c>
      <c r="L47" s="258"/>
      <c r="N47" s="258"/>
    </row>
    <row r="48" spans="2:14" ht="14.25" thickBot="1" x14ac:dyDescent="0.3">
      <c r="B48" s="33">
        <v>2022</v>
      </c>
      <c r="C48" s="499" t="s">
        <v>286</v>
      </c>
      <c r="D48" s="262">
        <v>0.33331413285091543</v>
      </c>
      <c r="E48" s="262">
        <v>2.6176054853370651E-4</v>
      </c>
      <c r="F48" s="262">
        <v>0.18925816150926203</v>
      </c>
      <c r="G48" s="262">
        <v>1.4835249122604213E-4</v>
      </c>
      <c r="H48" s="263">
        <f t="shared" ref="H48:K51" si="0">IFERROR(SUM(D25:D48)/2,"--")</f>
        <v>6.2346806987399841</v>
      </c>
      <c r="I48" s="263">
        <f t="shared" si="0"/>
        <v>4.095753803068607E-3</v>
      </c>
      <c r="J48" s="263">
        <f t="shared" si="0"/>
        <v>6.1533415170799763</v>
      </c>
      <c r="K48" s="264">
        <f t="shared" si="0"/>
        <v>4.0173241361916804E-3</v>
      </c>
      <c r="L48" s="258"/>
      <c r="N48" s="258"/>
    </row>
    <row r="49" spans="2:14" ht="13.5" hidden="1" x14ac:dyDescent="0.25">
      <c r="B49" s="495">
        <v>2022</v>
      </c>
      <c r="C49" s="284" t="s">
        <v>287</v>
      </c>
      <c r="D49" s="496">
        <v>0.23502499324588808</v>
      </c>
      <c r="E49" s="496">
        <v>2.7798273897628481E-4</v>
      </c>
      <c r="F49" s="496">
        <v>0.17782032120798727</v>
      </c>
      <c r="G49" s="496">
        <v>2.0993020721340829E-4</v>
      </c>
      <c r="H49" s="497">
        <f t="shared" si="0"/>
        <v>6.2339488822905809</v>
      </c>
      <c r="I49" s="497">
        <f t="shared" si="0"/>
        <v>4.1458829371565451E-3</v>
      </c>
      <c r="J49" s="497">
        <f t="shared" si="0"/>
        <v>5.9706284499655267</v>
      </c>
      <c r="K49" s="498">
        <f t="shared" si="0"/>
        <v>3.9167812978221006E-3</v>
      </c>
      <c r="L49" s="258"/>
      <c r="N49" s="258"/>
    </row>
    <row r="50" spans="2:14" ht="13.5" hidden="1" x14ac:dyDescent="0.25">
      <c r="B50" s="283">
        <v>2022</v>
      </c>
      <c r="C50" s="284" t="s">
        <v>288</v>
      </c>
      <c r="D50" s="290">
        <v>3.5777336404767539E-4</v>
      </c>
      <c r="E50" s="290">
        <v>2.9464699123472897E-7</v>
      </c>
      <c r="F50" s="290">
        <v>3.0164920848493794E-4</v>
      </c>
      <c r="G50" s="290">
        <v>2.4796247321295502E-7</v>
      </c>
      <c r="H50" s="291">
        <f t="shared" si="0"/>
        <v>5.9791691338561908</v>
      </c>
      <c r="I50" s="291">
        <f t="shared" si="0"/>
        <v>3.8871769477178317E-3</v>
      </c>
      <c r="J50" s="291">
        <f t="shared" si="0"/>
        <v>5.5874364923845592</v>
      </c>
      <c r="K50" s="292">
        <f t="shared" si="0"/>
        <v>3.5250767754119814E-3</v>
      </c>
      <c r="L50" s="258"/>
      <c r="N50" s="258"/>
    </row>
    <row r="51" spans="2:14" ht="14.25" hidden="1" thickBot="1" x14ac:dyDescent="0.3">
      <c r="B51" s="285">
        <v>2022</v>
      </c>
      <c r="C51" s="286" t="s">
        <v>289</v>
      </c>
      <c r="D51" s="287">
        <v>1.1982081718556373E-4</v>
      </c>
      <c r="E51" s="287">
        <v>1.0760059748462231E-7</v>
      </c>
      <c r="F51" s="287">
        <v>8.6883558314452099E-5</v>
      </c>
      <c r="G51" s="287">
        <v>7.7877099498854765E-8</v>
      </c>
      <c r="H51" s="288">
        <f t="shared" si="0"/>
        <v>5.72427040914837</v>
      </c>
      <c r="I51" s="288">
        <f t="shared" si="0"/>
        <v>3.6283774350822431E-3</v>
      </c>
      <c r="J51" s="288">
        <f t="shared" si="0"/>
        <v>5.2041371519785065</v>
      </c>
      <c r="K51" s="289">
        <f t="shared" si="0"/>
        <v>3.1332872103150052E-3</v>
      </c>
      <c r="L51" s="258"/>
      <c r="N51" s="258"/>
    </row>
    <row r="53" spans="2:14" x14ac:dyDescent="0.2">
      <c r="B53" s="265"/>
      <c r="C53" s="265"/>
    </row>
    <row r="54" spans="2:14" x14ac:dyDescent="0.2">
      <c r="B54" s="266"/>
      <c r="C54" s="266"/>
      <c r="D54" s="267"/>
      <c r="E54" s="267"/>
      <c r="F54" s="267"/>
      <c r="G54" s="267"/>
    </row>
    <row r="55" spans="2:14" x14ac:dyDescent="0.2">
      <c r="B55" s="266"/>
      <c r="C55" s="266"/>
      <c r="D55" s="267"/>
      <c r="E55" s="267"/>
      <c r="F55" s="267"/>
      <c r="G55" s="267"/>
    </row>
    <row r="56" spans="2:14" x14ac:dyDescent="0.2">
      <c r="B56" s="266"/>
      <c r="C56" s="266"/>
      <c r="D56" s="267"/>
      <c r="E56" s="267"/>
      <c r="F56" s="267"/>
      <c r="G56" s="267"/>
    </row>
    <row r="57" spans="2:14" x14ac:dyDescent="0.2">
      <c r="B57" s="266"/>
      <c r="C57" s="266"/>
      <c r="D57" s="267"/>
      <c r="E57" s="267"/>
      <c r="F57" s="267"/>
      <c r="G57" s="267"/>
    </row>
    <row r="58" spans="2:14" x14ac:dyDescent="0.2">
      <c r="B58" s="266"/>
      <c r="C58" s="266"/>
      <c r="D58" s="267"/>
      <c r="E58" s="267"/>
      <c r="F58" s="267"/>
      <c r="G58" s="267"/>
      <c r="H58" s="267"/>
      <c r="I58" s="267"/>
      <c r="J58" s="267"/>
      <c r="K58" s="267"/>
    </row>
    <row r="61" spans="2:14" x14ac:dyDescent="0.2">
      <c r="B61" s="265"/>
      <c r="C61" s="265"/>
      <c r="D61" s="268"/>
    </row>
    <row r="62" spans="2:14" x14ac:dyDescent="0.2">
      <c r="B62" s="266"/>
      <c r="C62" s="266"/>
    </row>
    <row r="63" spans="2:14" x14ac:dyDescent="0.2">
      <c r="B63" s="266"/>
      <c r="C63" s="266"/>
    </row>
    <row r="64" spans="2:14" x14ac:dyDescent="0.2">
      <c r="B64" s="266"/>
      <c r="C64" s="266"/>
    </row>
    <row r="65" spans="2:3" x14ac:dyDescent="0.2">
      <c r="B65" s="266"/>
      <c r="C65" s="266"/>
    </row>
    <row r="66" spans="2:3" x14ac:dyDescent="0.2">
      <c r="B66" s="266"/>
      <c r="C66" s="266"/>
    </row>
    <row r="68" spans="2:3" x14ac:dyDescent="0.2">
      <c r="B68" s="266"/>
      <c r="C68" s="266"/>
    </row>
    <row r="70" spans="2:3" x14ac:dyDescent="0.2">
      <c r="B70" s="265"/>
      <c r="C70" s="265"/>
    </row>
  </sheetData>
  <mergeCells count="2">
    <mergeCell ref="D12:G12"/>
    <mergeCell ref="H12:K12"/>
  </mergeCells>
  <pageMargins left="0.7" right="0.7" top="0.75" bottom="0.75" header="0.3" footer="0.3"/>
  <pageSetup scale="66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8ADE1-BBEC-4E70-8DAE-687A9441D183}">
  <sheetPr>
    <tabColor theme="1"/>
  </sheetPr>
  <dimension ref="B1:U70"/>
  <sheetViews>
    <sheetView view="pageBreakPreview" zoomScale="60" zoomScaleNormal="100" workbookViewId="0">
      <selection activeCell="J40" sqref="J40:J41"/>
    </sheetView>
  </sheetViews>
  <sheetFormatPr defaultColWidth="9.140625" defaultRowHeight="12.75" x14ac:dyDescent="0.2"/>
  <cols>
    <col min="1" max="1" width="4.28515625" style="252" customWidth="1"/>
    <col min="2" max="2" width="12" style="252" customWidth="1"/>
    <col min="3" max="3" width="18.85546875" style="252" customWidth="1"/>
    <col min="4" max="7" width="8.85546875" style="252" bestFit="1" customWidth="1"/>
    <col min="8" max="13" width="9.140625" style="252"/>
    <col min="14" max="14" width="11.140625" style="252" bestFit="1" customWidth="1"/>
    <col min="15" max="15" width="17.28515625" style="252" customWidth="1"/>
    <col min="16" max="16" width="15.42578125" style="252" customWidth="1"/>
    <col min="17" max="16384" width="9.140625" style="252"/>
  </cols>
  <sheetData>
    <row r="1" spans="2:21" s="18" customFormat="1" x14ac:dyDescent="0.2">
      <c r="B1" s="28"/>
      <c r="C1" s="28"/>
      <c r="F1" s="19"/>
      <c r="G1" s="19"/>
    </row>
    <row r="2" spans="2:21" s="18" customFormat="1" x14ac:dyDescent="0.2">
      <c r="B2" s="28"/>
      <c r="C2" s="28"/>
      <c r="F2" s="19"/>
      <c r="G2" s="19"/>
    </row>
    <row r="3" spans="2:21" x14ac:dyDescent="0.2">
      <c r="B3" s="20"/>
      <c r="C3" s="20"/>
    </row>
    <row r="4" spans="2:21" x14ac:dyDescent="0.2">
      <c r="B4" s="24" t="s">
        <v>0</v>
      </c>
      <c r="C4" s="25" t="s">
        <v>261</v>
      </c>
    </row>
    <row r="5" spans="2:21" x14ac:dyDescent="0.2">
      <c r="B5" s="24" t="s">
        <v>79</v>
      </c>
      <c r="C5" s="25" t="s">
        <v>4</v>
      </c>
    </row>
    <row r="6" spans="2:21" x14ac:dyDescent="0.2">
      <c r="B6" s="24" t="s">
        <v>80</v>
      </c>
      <c r="C6" s="25" t="s">
        <v>262</v>
      </c>
    </row>
    <row r="7" spans="2:21" x14ac:dyDescent="0.2">
      <c r="B7" s="20"/>
      <c r="C7" s="20"/>
    </row>
    <row r="8" spans="2:21" x14ac:dyDescent="0.2">
      <c r="B8" s="26"/>
      <c r="C8" s="26"/>
    </row>
    <row r="9" spans="2:21" x14ac:dyDescent="0.2">
      <c r="B9" s="26"/>
      <c r="C9" s="26"/>
    </row>
    <row r="10" spans="2:21" ht="13.5" x14ac:dyDescent="0.25">
      <c r="B10" s="27" t="s">
        <v>263</v>
      </c>
      <c r="C10" s="36" t="s">
        <v>48</v>
      </c>
    </row>
    <row r="11" spans="2:21" s="253" customFormat="1" ht="15" customHeight="1" thickBot="1" x14ac:dyDescent="0.25">
      <c r="O11" s="252"/>
      <c r="P11" s="252"/>
      <c r="Q11" s="252"/>
      <c r="R11" s="252"/>
      <c r="S11" s="252"/>
      <c r="T11" s="252"/>
      <c r="U11" s="252"/>
    </row>
    <row r="12" spans="2:21" ht="16.5" customHeight="1" thickBot="1" x14ac:dyDescent="0.25">
      <c r="B12" s="30"/>
      <c r="C12" s="30"/>
      <c r="D12" s="552" t="s">
        <v>265</v>
      </c>
      <c r="E12" s="553"/>
      <c r="F12" s="553"/>
      <c r="G12" s="554"/>
      <c r="H12" s="552" t="s">
        <v>266</v>
      </c>
      <c r="I12" s="553"/>
      <c r="J12" s="553"/>
      <c r="K12" s="554"/>
      <c r="L12" s="254"/>
    </row>
    <row r="13" spans="2:21" ht="27.75" thickBot="1" x14ac:dyDescent="0.25">
      <c r="B13" s="29" t="s">
        <v>267</v>
      </c>
      <c r="C13" s="29" t="s">
        <v>268</v>
      </c>
      <c r="D13" s="531" t="s">
        <v>269</v>
      </c>
      <c r="E13" s="532" t="s">
        <v>270</v>
      </c>
      <c r="F13" s="532" t="s">
        <v>271</v>
      </c>
      <c r="G13" s="533" t="s">
        <v>272</v>
      </c>
      <c r="H13" s="531" t="s">
        <v>269</v>
      </c>
      <c r="I13" s="532" t="s">
        <v>270</v>
      </c>
      <c r="J13" s="532" t="s">
        <v>271</v>
      </c>
      <c r="K13" s="533" t="s">
        <v>272</v>
      </c>
    </row>
    <row r="14" spans="2:21" ht="27.75" thickBot="1" x14ac:dyDescent="0.25">
      <c r="B14" s="199"/>
      <c r="C14" s="199"/>
      <c r="D14" s="531" t="s">
        <v>273</v>
      </c>
      <c r="E14" s="532" t="s">
        <v>274</v>
      </c>
      <c r="F14" s="532" t="s">
        <v>273</v>
      </c>
      <c r="G14" s="533" t="s">
        <v>274</v>
      </c>
      <c r="H14" s="531"/>
      <c r="I14" s="532"/>
      <c r="J14" s="532"/>
      <c r="K14" s="533"/>
    </row>
    <row r="15" spans="2:21" ht="14.25" thickBot="1" x14ac:dyDescent="0.25">
      <c r="B15" s="199"/>
      <c r="C15" s="199"/>
      <c r="D15" s="534" t="s">
        <v>275</v>
      </c>
      <c r="E15" s="535" t="s">
        <v>275</v>
      </c>
      <c r="F15" s="535" t="s">
        <v>276</v>
      </c>
      <c r="G15" s="536" t="s">
        <v>276</v>
      </c>
      <c r="H15" s="534"/>
      <c r="I15" s="535"/>
      <c r="J15" s="535"/>
      <c r="K15" s="536"/>
    </row>
    <row r="16" spans="2:21" ht="13.5" hidden="1" x14ac:dyDescent="0.25">
      <c r="B16" s="31">
        <v>2020</v>
      </c>
      <c r="C16" s="197" t="s">
        <v>277</v>
      </c>
      <c r="D16" s="255" cm="1">
        <f t="array" aca="1" ref="D16" ca="1">_xlfn.XLOOKUP(D$13,INDIRECT("'"&amp;$B16&amp;" EI'!$B$6:$B$53"),_xlfn.XLOOKUP($C$10,INDIRECT("'"&amp;$B16&amp;" EI'!$D$4:$Z$4"),INDIRECT("'"&amp;$B16&amp;" EI'!$D$6:$Z$53")))*_xlfn.XLOOKUP($B16&amp;D$15,'Gas Useage'!$A$4:$A$15&amp;'Gas Useage'!$B$4:$B$15,_xlfn.XLOOKUP($C16&amp;D$14,'Gas Useage'!$C$2:$AB$2&amp;'Gas Useage'!$C$3:$AB$3,'Gas Useage'!$C$4:$AB$15))/_xlfn.XLOOKUP($B16&amp;D$15,'Gas Useage'!$A$4:$A$15&amp;'Gas Useage'!$B$4:$B$15,_xlfn.XLOOKUP(D$14,'Gas Useage'!$AA$3:$AB$3,'Gas Useage'!$AA$4:$AB$15))</f>
        <v>0.13325389473589311</v>
      </c>
      <c r="E16" s="255" cm="1">
        <f t="array" aca="1" ref="E16" ca="1">_xlfn.XLOOKUP(E$13,INDIRECT("'"&amp;$B16&amp;" EI'!$B$6:$B$53"),_xlfn.XLOOKUP($C$10,INDIRECT("'"&amp;$B16&amp;" EI'!$D$4:$Z$4"),INDIRECT("'"&amp;$B16&amp;" EI'!$D$6:$Z$53")))*_xlfn.XLOOKUP($B16&amp;E$15,'Gas Useage'!$A$4:$A$15&amp;'Gas Useage'!$B$4:$B$15,_xlfn.XLOOKUP($C16&amp;E$14,'Gas Useage'!$C$2:$AB$2&amp;'Gas Useage'!$C$3:$AB$3,'Gas Useage'!$C$4:$AB$15))/_xlfn.XLOOKUP($B16&amp;E$15,'Gas Useage'!$A$4:$A$15&amp;'Gas Useage'!$B$4:$B$15,_xlfn.XLOOKUP(E$14,'Gas Useage'!$AA$3:$AB$3,'Gas Useage'!$AA$4:$AB$15))</f>
        <v>4.3527762215774785E-2</v>
      </c>
      <c r="F16" s="255" cm="1">
        <f t="array" aca="1" ref="F16" ca="1">_xlfn.XLOOKUP(F$13,INDIRECT("'"&amp;$B16&amp;" EI'!$B$6:$B$53"),_xlfn.XLOOKUP($C$10,INDIRECT("'"&amp;$B16&amp;" EI'!$D$4:$Z$4"),INDIRECT("'"&amp;$B16&amp;" EI'!$D$6:$Z$53")))*_xlfn.XLOOKUP($B16&amp;F$15,'Gas Useage'!$A$4:$A$15&amp;'Gas Useage'!$B$4:$B$15,_xlfn.XLOOKUP($C16&amp;F$14,'Gas Useage'!$C$2:$AB$2&amp;'Gas Useage'!$C$3:$AB$3,'Gas Useage'!$C$4:$AB$15))/_xlfn.XLOOKUP($B16&amp;F$15,'Gas Useage'!$A$4:$A$15&amp;'Gas Useage'!$B$4:$B$15,_xlfn.XLOOKUP(F$14,'Gas Useage'!$AA$3:$AB$3,'Gas Useage'!$AA$4:$AB$15))</f>
        <v>0.17444888123259703</v>
      </c>
      <c r="G16" s="255" cm="1">
        <f t="array" aca="1" ref="G16" ca="1">_xlfn.XLOOKUP(G$13,INDIRECT("'"&amp;$B16&amp;" EI'!$B$6:$B$53"),_xlfn.XLOOKUP($C$10,INDIRECT("'"&amp;$B16&amp;" EI'!$D$4:$Z$4"),INDIRECT("'"&amp;$B16&amp;" EI'!$D$6:$Z$53")))*_xlfn.XLOOKUP($B16&amp;G$15,'Gas Useage'!$A$4:$A$15&amp;'Gas Useage'!$B$4:$B$15,_xlfn.XLOOKUP($C16&amp;G$14,'Gas Useage'!$C$2:$AB$2&amp;'Gas Useage'!$C$3:$AB$3,'Gas Useage'!$C$4:$AB$15))/_xlfn.XLOOKUP($B16&amp;G$15,'Gas Useage'!$A$4:$A$15&amp;'Gas Useage'!$B$4:$B$15,_xlfn.XLOOKUP(G$14,'Gas Useage'!$AA$3:$AB$3,'Gas Useage'!$AA$4:$AB$15))</f>
        <v>5.6984221257850277E-2</v>
      </c>
      <c r="H16" s="256" t="s">
        <v>278</v>
      </c>
      <c r="I16" s="256" t="s">
        <v>278</v>
      </c>
      <c r="J16" s="256" t="s">
        <v>278</v>
      </c>
      <c r="K16" s="257" t="s">
        <v>278</v>
      </c>
      <c r="N16" s="258"/>
    </row>
    <row r="17" spans="2:14" ht="13.5" hidden="1" x14ac:dyDescent="0.25">
      <c r="B17" s="32">
        <v>2020</v>
      </c>
      <c r="C17" s="198" t="s">
        <v>279</v>
      </c>
      <c r="D17" s="259" cm="1">
        <f t="array" aca="1" ref="D17" ca="1">_xlfn.XLOOKUP(D$13,INDIRECT("'"&amp;$B17&amp;" EI'!$B$6:$B$53"),_xlfn.XLOOKUP($C$10,INDIRECT("'"&amp;$B17&amp;" EI'!$D$4:$Z$4"),INDIRECT("'"&amp;$B17&amp;" EI'!$D$6:$Z$53")))*_xlfn.XLOOKUP($B17&amp;D$15,'Gas Useage'!$A$4:$A$15&amp;'Gas Useage'!$B$4:$B$15,_xlfn.XLOOKUP($C17&amp;D$14,'Gas Useage'!$C$2:$AB$2&amp;'Gas Useage'!$C$3:$AB$3,'Gas Useage'!$C$4:$AB$15))/_xlfn.XLOOKUP($B17&amp;D$15,'Gas Useage'!$A$4:$A$15&amp;'Gas Useage'!$B$4:$B$15,_xlfn.XLOOKUP(D$14,'Gas Useage'!$AA$3:$AB$3,'Gas Useage'!$AA$4:$AB$15))</f>
        <v>0.22090684773201488</v>
      </c>
      <c r="E17" s="259" cm="1">
        <f t="array" aca="1" ref="E17" ca="1">_xlfn.XLOOKUP(E$13,INDIRECT("'"&amp;$B17&amp;" EI'!$B$6:$B$53"),_xlfn.XLOOKUP($C$10,INDIRECT("'"&amp;$B17&amp;" EI'!$D$4:$Z$4"),INDIRECT("'"&amp;$B17&amp;" EI'!$D$6:$Z$53")))*_xlfn.XLOOKUP($B17&amp;E$15,'Gas Useage'!$A$4:$A$15&amp;'Gas Useage'!$B$4:$B$15,_xlfn.XLOOKUP($C17&amp;E$14,'Gas Useage'!$C$2:$AB$2&amp;'Gas Useage'!$C$3:$AB$3,'Gas Useage'!$C$4:$AB$15))/_xlfn.XLOOKUP($B17&amp;E$15,'Gas Useage'!$A$4:$A$15&amp;'Gas Useage'!$B$4:$B$15,_xlfn.XLOOKUP(E$14,'Gas Useage'!$AA$3:$AB$3,'Gas Useage'!$AA$4:$AB$15))</f>
        <v>9.0329105686945382E-2</v>
      </c>
      <c r="F17" s="259" cm="1">
        <f t="array" aca="1" ref="F17" ca="1">_xlfn.XLOOKUP(F$13,INDIRECT("'"&amp;$B17&amp;" EI'!$B$6:$B$53"),_xlfn.XLOOKUP($C$10,INDIRECT("'"&amp;$B17&amp;" EI'!$D$4:$Z$4"),INDIRECT("'"&amp;$B17&amp;" EI'!$D$6:$Z$53")))*_xlfn.XLOOKUP($B17&amp;F$15,'Gas Useage'!$A$4:$A$15&amp;'Gas Useage'!$B$4:$B$15,_xlfn.XLOOKUP($C17&amp;F$14,'Gas Useage'!$C$2:$AB$2&amp;'Gas Useage'!$C$3:$AB$3,'Gas Useage'!$C$4:$AB$15))/_xlfn.XLOOKUP($B17&amp;F$15,'Gas Useage'!$A$4:$A$15&amp;'Gas Useage'!$B$4:$B$15,_xlfn.XLOOKUP(F$14,'Gas Useage'!$AA$3:$AB$3,'Gas Useage'!$AA$4:$AB$15))</f>
        <v>0.18017132088542243</v>
      </c>
      <c r="G17" s="259" cm="1">
        <f t="array" aca="1" ref="G17" ca="1">_xlfn.XLOOKUP(G$13,INDIRECT("'"&amp;$B17&amp;" EI'!$B$6:$B$53"),_xlfn.XLOOKUP($C$10,INDIRECT("'"&amp;$B17&amp;" EI'!$D$4:$Z$4"),INDIRECT("'"&amp;$B17&amp;" EI'!$D$6:$Z$53")))*_xlfn.XLOOKUP($B17&amp;G$15,'Gas Useage'!$A$4:$A$15&amp;'Gas Useage'!$B$4:$B$15,_xlfn.XLOOKUP($C17&amp;G$14,'Gas Useage'!$C$2:$AB$2&amp;'Gas Useage'!$C$3:$AB$3,'Gas Useage'!$C$4:$AB$15))/_xlfn.XLOOKUP($B17&amp;G$15,'Gas Useage'!$A$4:$A$15&amp;'Gas Useage'!$B$4:$B$15,_xlfn.XLOOKUP(G$14,'Gas Useage'!$AA$3:$AB$3,'Gas Useage'!$AA$4:$AB$15))</f>
        <v>7.3672294241231298E-2</v>
      </c>
      <c r="H17" s="260" t="s">
        <v>278</v>
      </c>
      <c r="I17" s="260" t="s">
        <v>278</v>
      </c>
      <c r="J17" s="260" t="s">
        <v>278</v>
      </c>
      <c r="K17" s="261" t="s">
        <v>278</v>
      </c>
      <c r="N17" s="258"/>
    </row>
    <row r="18" spans="2:14" ht="13.5" hidden="1" x14ac:dyDescent="0.25">
      <c r="B18" s="32">
        <v>2020</v>
      </c>
      <c r="C18" s="198" t="s">
        <v>280</v>
      </c>
      <c r="D18" s="259" cm="1">
        <f t="array" aca="1" ref="D18" ca="1">_xlfn.XLOOKUP(D$13,INDIRECT("'"&amp;$B18&amp;" EI'!$B$6:$B$53"),_xlfn.XLOOKUP($C$10,INDIRECT("'"&amp;$B18&amp;" EI'!$D$4:$Z$4"),INDIRECT("'"&amp;$B18&amp;" EI'!$D$6:$Z$53")))*_xlfn.XLOOKUP($B18&amp;D$15,'Gas Useage'!$A$4:$A$15&amp;'Gas Useage'!$B$4:$B$15,_xlfn.XLOOKUP($C18&amp;D$14,'Gas Useage'!$C$2:$AB$2&amp;'Gas Useage'!$C$3:$AB$3,'Gas Useage'!$C$4:$AB$15))/_xlfn.XLOOKUP($B18&amp;D$15,'Gas Useage'!$A$4:$A$15&amp;'Gas Useage'!$B$4:$B$15,_xlfn.XLOOKUP(D$14,'Gas Useage'!$AA$3:$AB$3,'Gas Useage'!$AA$4:$AB$15))</f>
        <v>0.2254779931794415</v>
      </c>
      <c r="E18" s="259" cm="1">
        <f t="array" aca="1" ref="E18" ca="1">_xlfn.XLOOKUP(E$13,INDIRECT("'"&amp;$B18&amp;" EI'!$B$6:$B$53"),_xlfn.XLOOKUP($C$10,INDIRECT("'"&amp;$B18&amp;" EI'!$D$4:$Z$4"),INDIRECT("'"&amp;$B18&amp;" EI'!$D$6:$Z$53")))*_xlfn.XLOOKUP($B18&amp;E$15,'Gas Useage'!$A$4:$A$15&amp;'Gas Useage'!$B$4:$B$15,_xlfn.XLOOKUP($C18&amp;E$14,'Gas Useage'!$C$2:$AB$2&amp;'Gas Useage'!$C$3:$AB$3,'Gas Useage'!$C$4:$AB$15))/_xlfn.XLOOKUP($B18&amp;E$15,'Gas Useage'!$A$4:$A$15&amp;'Gas Useage'!$B$4:$B$15,_xlfn.XLOOKUP(E$14,'Gas Useage'!$AA$3:$AB$3,'Gas Useage'!$AA$4:$AB$15))</f>
        <v>9.6295312231403585E-2</v>
      </c>
      <c r="F18" s="259" cm="1">
        <f t="array" aca="1" ref="F18" ca="1">_xlfn.XLOOKUP(F$13,INDIRECT("'"&amp;$B18&amp;" EI'!$B$6:$B$53"),_xlfn.XLOOKUP($C$10,INDIRECT("'"&amp;$B18&amp;" EI'!$D$4:$Z$4"),INDIRECT("'"&amp;$B18&amp;" EI'!$D$6:$Z$53")))*_xlfn.XLOOKUP($B18&amp;F$15,'Gas Useage'!$A$4:$A$15&amp;'Gas Useage'!$B$4:$B$15,_xlfn.XLOOKUP($C18&amp;F$14,'Gas Useage'!$C$2:$AB$2&amp;'Gas Useage'!$C$3:$AB$3,'Gas Useage'!$C$4:$AB$15))/_xlfn.XLOOKUP($B18&amp;F$15,'Gas Useage'!$A$4:$A$15&amp;'Gas Useage'!$B$4:$B$15,_xlfn.XLOOKUP(F$14,'Gas Useage'!$AA$3:$AB$3,'Gas Useage'!$AA$4:$AB$15))</f>
        <v>0.14015660356615403</v>
      </c>
      <c r="G18" s="259" cm="1">
        <f t="array" aca="1" ref="G18" ca="1">_xlfn.XLOOKUP(G$13,INDIRECT("'"&amp;$B18&amp;" EI'!$B$6:$B$53"),_xlfn.XLOOKUP($C$10,INDIRECT("'"&amp;$B18&amp;" EI'!$D$4:$Z$4"),INDIRECT("'"&amp;$B18&amp;" EI'!$D$6:$Z$53")))*_xlfn.XLOOKUP($B18&amp;G$15,'Gas Useage'!$A$4:$A$15&amp;'Gas Useage'!$B$4:$B$15,_xlfn.XLOOKUP($C18&amp;G$14,'Gas Useage'!$C$2:$AB$2&amp;'Gas Useage'!$C$3:$AB$3,'Gas Useage'!$C$4:$AB$15))/_xlfn.XLOOKUP($B18&amp;G$15,'Gas Useage'!$A$4:$A$15&amp;'Gas Useage'!$B$4:$B$15,_xlfn.XLOOKUP(G$14,'Gas Useage'!$AA$3:$AB$3,'Gas Useage'!$AA$4:$AB$15))</f>
        <v>5.9856945289357082E-2</v>
      </c>
      <c r="H18" s="260" t="s">
        <v>278</v>
      </c>
      <c r="I18" s="260" t="s">
        <v>278</v>
      </c>
      <c r="J18" s="260" t="s">
        <v>278</v>
      </c>
      <c r="K18" s="261" t="s">
        <v>278</v>
      </c>
      <c r="N18" s="258"/>
    </row>
    <row r="19" spans="2:14" ht="13.5" hidden="1" x14ac:dyDescent="0.25">
      <c r="B19" s="32">
        <v>2020</v>
      </c>
      <c r="C19" s="198" t="s">
        <v>281</v>
      </c>
      <c r="D19" s="259" cm="1">
        <f t="array" aca="1" ref="D19" ca="1">_xlfn.XLOOKUP(D$13,INDIRECT("'"&amp;$B19&amp;" EI'!$B$6:$B$53"),_xlfn.XLOOKUP($C$10,INDIRECT("'"&amp;$B19&amp;" EI'!$D$4:$Z$4"),INDIRECT("'"&amp;$B19&amp;" EI'!$D$6:$Z$53")))*_xlfn.XLOOKUP($B19&amp;D$15,'Gas Useage'!$A$4:$A$15&amp;'Gas Useage'!$B$4:$B$15,_xlfn.XLOOKUP($C19&amp;D$14,'Gas Useage'!$C$2:$AB$2&amp;'Gas Useage'!$C$3:$AB$3,'Gas Useage'!$C$4:$AB$15))/_xlfn.XLOOKUP($B19&amp;D$15,'Gas Useage'!$A$4:$A$15&amp;'Gas Useage'!$B$4:$B$15,_xlfn.XLOOKUP(D$14,'Gas Useage'!$AA$3:$AB$3,'Gas Useage'!$AA$4:$AB$15))</f>
        <v>8.7372368815848672E-2</v>
      </c>
      <c r="E19" s="259" cm="1">
        <f t="array" aca="1" ref="E19" ca="1">_xlfn.XLOOKUP(E$13,INDIRECT("'"&amp;$B19&amp;" EI'!$B$6:$B$53"),_xlfn.XLOOKUP($C$10,INDIRECT("'"&amp;$B19&amp;" EI'!$D$4:$Z$4"),INDIRECT("'"&amp;$B19&amp;" EI'!$D$6:$Z$53")))*_xlfn.XLOOKUP($B19&amp;E$15,'Gas Useage'!$A$4:$A$15&amp;'Gas Useage'!$B$4:$B$15,_xlfn.XLOOKUP($C19&amp;E$14,'Gas Useage'!$C$2:$AB$2&amp;'Gas Useage'!$C$3:$AB$3,'Gas Useage'!$C$4:$AB$15))/_xlfn.XLOOKUP($B19&amp;E$15,'Gas Useage'!$A$4:$A$15&amp;'Gas Useage'!$B$4:$B$15,_xlfn.XLOOKUP(E$14,'Gas Useage'!$AA$3:$AB$3,'Gas Useage'!$AA$4:$AB$15))</f>
        <v>3.8185990659592509E-2</v>
      </c>
      <c r="F19" s="259" cm="1">
        <f t="array" aca="1" ref="F19" ca="1">_xlfn.XLOOKUP(F$13,INDIRECT("'"&amp;$B19&amp;" EI'!$B$6:$B$53"),_xlfn.XLOOKUP($C$10,INDIRECT("'"&amp;$B19&amp;" EI'!$D$4:$Z$4"),INDIRECT("'"&amp;$B19&amp;" EI'!$D$6:$Z$53")))*_xlfn.XLOOKUP($B19&amp;F$15,'Gas Useage'!$A$4:$A$15&amp;'Gas Useage'!$B$4:$B$15,_xlfn.XLOOKUP($C19&amp;F$14,'Gas Useage'!$C$2:$AB$2&amp;'Gas Useage'!$C$3:$AB$3,'Gas Useage'!$C$4:$AB$15))/_xlfn.XLOOKUP($B19&amp;F$15,'Gas Useage'!$A$4:$A$15&amp;'Gas Useage'!$B$4:$B$15,_xlfn.XLOOKUP(F$14,'Gas Useage'!$AA$3:$AB$3,'Gas Useage'!$AA$4:$AB$15))</f>
        <v>8.7664291197458527E-2</v>
      </c>
      <c r="G19" s="259" cm="1">
        <f t="array" aca="1" ref="G19" ca="1">_xlfn.XLOOKUP(G$13,INDIRECT("'"&amp;$B19&amp;" EI'!$B$6:$B$53"),_xlfn.XLOOKUP($C$10,INDIRECT("'"&amp;$B19&amp;" EI'!$D$4:$Z$4"),INDIRECT("'"&amp;$B19&amp;" EI'!$D$6:$Z$53")))*_xlfn.XLOOKUP($B19&amp;G$15,'Gas Useage'!$A$4:$A$15&amp;'Gas Useage'!$B$4:$B$15,_xlfn.XLOOKUP($C19&amp;G$14,'Gas Useage'!$C$2:$AB$2&amp;'Gas Useage'!$C$3:$AB$3,'Gas Useage'!$C$4:$AB$15))/_xlfn.XLOOKUP($B19&amp;G$15,'Gas Useage'!$A$4:$A$15&amp;'Gas Useage'!$B$4:$B$15,_xlfn.XLOOKUP(G$14,'Gas Useage'!$AA$3:$AB$3,'Gas Useage'!$AA$4:$AB$15))</f>
        <v>3.8313574991899857E-2</v>
      </c>
      <c r="H19" s="260" t="s">
        <v>278</v>
      </c>
      <c r="I19" s="260" t="s">
        <v>278</v>
      </c>
      <c r="J19" s="260" t="s">
        <v>278</v>
      </c>
      <c r="K19" s="261" t="s">
        <v>278</v>
      </c>
      <c r="N19" s="258"/>
    </row>
    <row r="20" spans="2:14" ht="13.5" hidden="1" x14ac:dyDescent="0.25">
      <c r="B20" s="32">
        <v>2020</v>
      </c>
      <c r="C20" s="198" t="s">
        <v>282</v>
      </c>
      <c r="D20" s="259" cm="1">
        <f t="array" aca="1" ref="D20" ca="1">_xlfn.XLOOKUP(D$13,INDIRECT("'"&amp;$B20&amp;" EI'!$B$6:$B$53"),_xlfn.XLOOKUP($C$10,INDIRECT("'"&amp;$B20&amp;" EI'!$D$4:$Z$4"),INDIRECT("'"&amp;$B20&amp;" EI'!$D$6:$Z$53")))*_xlfn.XLOOKUP($B20&amp;D$15,'Gas Useage'!$A$4:$A$15&amp;'Gas Useage'!$B$4:$B$15,_xlfn.XLOOKUP($C20&amp;D$14,'Gas Useage'!$C$2:$AB$2&amp;'Gas Useage'!$C$3:$AB$3,'Gas Useage'!$C$4:$AB$15))/_xlfn.XLOOKUP($B20&amp;D$15,'Gas Useage'!$A$4:$A$15&amp;'Gas Useage'!$B$4:$B$15,_xlfn.XLOOKUP(D$14,'Gas Useage'!$AA$3:$AB$3,'Gas Useage'!$AA$4:$AB$15))</f>
        <v>5.4762862219344234E-3</v>
      </c>
      <c r="E20" s="259" cm="1">
        <f t="array" aca="1" ref="E20" ca="1">_xlfn.XLOOKUP(E$13,INDIRECT("'"&amp;$B20&amp;" EI'!$B$6:$B$53"),_xlfn.XLOOKUP($C$10,INDIRECT("'"&amp;$B20&amp;" EI'!$D$4:$Z$4"),INDIRECT("'"&amp;$B20&amp;" EI'!$D$6:$Z$53")))*_xlfn.XLOOKUP($B20&amp;E$15,'Gas Useage'!$A$4:$A$15&amp;'Gas Useage'!$B$4:$B$15,_xlfn.XLOOKUP($C20&amp;E$14,'Gas Useage'!$C$2:$AB$2&amp;'Gas Useage'!$C$3:$AB$3,'Gas Useage'!$C$4:$AB$15))/_xlfn.XLOOKUP($B20&amp;E$15,'Gas Useage'!$A$4:$A$15&amp;'Gas Useage'!$B$4:$B$15,_xlfn.XLOOKUP(E$14,'Gas Useage'!$AA$3:$AB$3,'Gas Useage'!$AA$4:$AB$15))</f>
        <v>1.3948197515974261E-3</v>
      </c>
      <c r="F20" s="259" cm="1">
        <f t="array" aca="1" ref="F20" ca="1">_xlfn.XLOOKUP(F$13,INDIRECT("'"&amp;$B20&amp;" EI'!$B$6:$B$53"),_xlfn.XLOOKUP($C$10,INDIRECT("'"&amp;$B20&amp;" EI'!$D$4:$Z$4"),INDIRECT("'"&amp;$B20&amp;" EI'!$D$6:$Z$53")))*_xlfn.XLOOKUP($B20&amp;F$15,'Gas Useage'!$A$4:$A$15&amp;'Gas Useage'!$B$4:$B$15,_xlfn.XLOOKUP($C20&amp;F$14,'Gas Useage'!$C$2:$AB$2&amp;'Gas Useage'!$C$3:$AB$3,'Gas Useage'!$C$4:$AB$15))/_xlfn.XLOOKUP($B20&amp;F$15,'Gas Useage'!$A$4:$A$15&amp;'Gas Useage'!$B$4:$B$15,_xlfn.XLOOKUP(F$14,'Gas Useage'!$AA$3:$AB$3,'Gas Useage'!$AA$4:$AB$15))</f>
        <v>2.6454908078996347E-6</v>
      </c>
      <c r="G20" s="259" cm="1">
        <f t="array" aca="1" ref="G20" ca="1">_xlfn.XLOOKUP(G$13,INDIRECT("'"&amp;$B20&amp;" EI'!$B$6:$B$53"),_xlfn.XLOOKUP($C$10,INDIRECT("'"&amp;$B20&amp;" EI'!$D$4:$Z$4"),INDIRECT("'"&amp;$B20&amp;" EI'!$D$6:$Z$53")))*_xlfn.XLOOKUP($B20&amp;G$15,'Gas Useage'!$A$4:$A$15&amp;'Gas Useage'!$B$4:$B$15,_xlfn.XLOOKUP($C20&amp;G$14,'Gas Useage'!$C$2:$AB$2&amp;'Gas Useage'!$C$3:$AB$3,'Gas Useage'!$C$4:$AB$15))/_xlfn.XLOOKUP($B20&amp;G$15,'Gas Useage'!$A$4:$A$15&amp;'Gas Useage'!$B$4:$B$15,_xlfn.XLOOKUP(G$14,'Gas Useage'!$AA$3:$AB$3,'Gas Useage'!$AA$4:$AB$15))</f>
        <v>6.7381117092605263E-7</v>
      </c>
      <c r="H20" s="260" t="s">
        <v>278</v>
      </c>
      <c r="I20" s="260" t="s">
        <v>278</v>
      </c>
      <c r="J20" s="260" t="s">
        <v>278</v>
      </c>
      <c r="K20" s="261" t="s">
        <v>278</v>
      </c>
      <c r="N20" s="258"/>
    </row>
    <row r="21" spans="2:14" ht="13.5" hidden="1" x14ac:dyDescent="0.25">
      <c r="B21" s="32">
        <v>2020</v>
      </c>
      <c r="C21" s="198" t="s">
        <v>283</v>
      </c>
      <c r="D21" s="259" cm="1">
        <f t="array" aca="1" ref="D21" ca="1">_xlfn.XLOOKUP(D$13,INDIRECT("'"&amp;$B21&amp;" EI'!$B$6:$B$53"),_xlfn.XLOOKUP($C$10,INDIRECT("'"&amp;$B21&amp;" EI'!$D$4:$Z$4"),INDIRECT("'"&amp;$B21&amp;" EI'!$D$6:$Z$53")))*_xlfn.XLOOKUP($B21&amp;D$15,'Gas Useage'!$A$4:$A$15&amp;'Gas Useage'!$B$4:$B$15,_xlfn.XLOOKUP($C21&amp;D$14,'Gas Useage'!$C$2:$AB$2&amp;'Gas Useage'!$C$3:$AB$3,'Gas Useage'!$C$4:$AB$15))/_xlfn.XLOOKUP($B21&amp;D$15,'Gas Useage'!$A$4:$A$15&amp;'Gas Useage'!$B$4:$B$15,_xlfn.XLOOKUP(D$14,'Gas Useage'!$AA$3:$AB$3,'Gas Useage'!$AA$4:$AB$15))</f>
        <v>0</v>
      </c>
      <c r="E21" s="259" cm="1">
        <f t="array" aca="1" ref="E21" ca="1">_xlfn.XLOOKUP(E$13,INDIRECT("'"&amp;$B21&amp;" EI'!$B$6:$B$53"),_xlfn.XLOOKUP($C$10,INDIRECT("'"&amp;$B21&amp;" EI'!$D$4:$Z$4"),INDIRECT("'"&amp;$B21&amp;" EI'!$D$6:$Z$53")))*_xlfn.XLOOKUP($B21&amp;E$15,'Gas Useage'!$A$4:$A$15&amp;'Gas Useage'!$B$4:$B$15,_xlfn.XLOOKUP($C21&amp;E$14,'Gas Useage'!$C$2:$AB$2&amp;'Gas Useage'!$C$3:$AB$3,'Gas Useage'!$C$4:$AB$15))/_xlfn.XLOOKUP($B21&amp;E$15,'Gas Useage'!$A$4:$A$15&amp;'Gas Useage'!$B$4:$B$15,_xlfn.XLOOKUP(E$14,'Gas Useage'!$AA$3:$AB$3,'Gas Useage'!$AA$4:$AB$15))</f>
        <v>0</v>
      </c>
      <c r="F21" s="259" cm="1">
        <f t="array" aca="1" ref="F21" ca="1">_xlfn.XLOOKUP(F$13,INDIRECT("'"&amp;$B21&amp;" EI'!$B$6:$B$53"),_xlfn.XLOOKUP($C$10,INDIRECT("'"&amp;$B21&amp;" EI'!$D$4:$Z$4"),INDIRECT("'"&amp;$B21&amp;" EI'!$D$6:$Z$53")))*_xlfn.XLOOKUP($B21&amp;F$15,'Gas Useage'!$A$4:$A$15&amp;'Gas Useage'!$B$4:$B$15,_xlfn.XLOOKUP($C21&amp;F$14,'Gas Useage'!$C$2:$AB$2&amp;'Gas Useage'!$C$3:$AB$3,'Gas Useage'!$C$4:$AB$15))/_xlfn.XLOOKUP($B21&amp;F$15,'Gas Useage'!$A$4:$A$15&amp;'Gas Useage'!$B$4:$B$15,_xlfn.XLOOKUP(F$14,'Gas Useage'!$AA$3:$AB$3,'Gas Useage'!$AA$4:$AB$15))</f>
        <v>0</v>
      </c>
      <c r="G21" s="259" cm="1">
        <f t="array" aca="1" ref="G21" ca="1">_xlfn.XLOOKUP(G$13,INDIRECT("'"&amp;$B21&amp;" EI'!$B$6:$B$53"),_xlfn.XLOOKUP($C$10,INDIRECT("'"&amp;$B21&amp;" EI'!$D$4:$Z$4"),INDIRECT("'"&amp;$B21&amp;" EI'!$D$6:$Z$53")))*_xlfn.XLOOKUP($B21&amp;G$15,'Gas Useage'!$A$4:$A$15&amp;'Gas Useage'!$B$4:$B$15,_xlfn.XLOOKUP($C21&amp;G$14,'Gas Useage'!$C$2:$AB$2&amp;'Gas Useage'!$C$3:$AB$3,'Gas Useage'!$C$4:$AB$15))/_xlfn.XLOOKUP($B21&amp;G$15,'Gas Useage'!$A$4:$A$15&amp;'Gas Useage'!$B$4:$B$15,_xlfn.XLOOKUP(G$14,'Gas Useage'!$AA$3:$AB$3,'Gas Useage'!$AA$4:$AB$15))</f>
        <v>0</v>
      </c>
      <c r="H21" s="260" t="s">
        <v>278</v>
      </c>
      <c r="I21" s="260" t="s">
        <v>278</v>
      </c>
      <c r="J21" s="260" t="s">
        <v>278</v>
      </c>
      <c r="K21" s="261" t="s">
        <v>278</v>
      </c>
      <c r="N21" s="258"/>
    </row>
    <row r="22" spans="2:14" ht="13.5" hidden="1" x14ac:dyDescent="0.25">
      <c r="B22" s="32">
        <v>2020</v>
      </c>
      <c r="C22" s="198" t="s">
        <v>284</v>
      </c>
      <c r="D22" s="259" cm="1">
        <f t="array" aca="1" ref="D22" ca="1">_xlfn.XLOOKUP(D$13,INDIRECT("'"&amp;$B22&amp;" EI'!$B$6:$B$53"),_xlfn.XLOOKUP($C$10,INDIRECT("'"&amp;$B22&amp;" EI'!$D$4:$Z$4"),INDIRECT("'"&amp;$B22&amp;" EI'!$D$6:$Z$53")))*_xlfn.XLOOKUP($B22&amp;D$15,'Gas Useage'!$A$4:$A$15&amp;'Gas Useage'!$B$4:$B$15,_xlfn.XLOOKUP($C22&amp;D$14,'Gas Useage'!$C$2:$AB$2&amp;'Gas Useage'!$C$3:$AB$3,'Gas Useage'!$C$4:$AB$15))/_xlfn.XLOOKUP($B22&amp;D$15,'Gas Useage'!$A$4:$A$15&amp;'Gas Useage'!$B$4:$B$15,_xlfn.XLOOKUP(D$14,'Gas Useage'!$AA$3:$AB$3,'Gas Useage'!$AA$4:$AB$15))</f>
        <v>0.22016464693518159</v>
      </c>
      <c r="E22" s="259" cm="1">
        <f t="array" aca="1" ref="E22" ca="1">_xlfn.XLOOKUP(E$13,INDIRECT("'"&amp;$B22&amp;" EI'!$B$6:$B$53"),_xlfn.XLOOKUP($C$10,INDIRECT("'"&amp;$B22&amp;" EI'!$D$4:$Z$4"),INDIRECT("'"&amp;$B22&amp;" EI'!$D$6:$Z$53")))*_xlfn.XLOOKUP($B22&amp;E$15,'Gas Useage'!$A$4:$A$15&amp;'Gas Useage'!$B$4:$B$15,_xlfn.XLOOKUP($C22&amp;E$14,'Gas Useage'!$C$2:$AB$2&amp;'Gas Useage'!$C$3:$AB$3,'Gas Useage'!$C$4:$AB$15))/_xlfn.XLOOKUP($B22&amp;E$15,'Gas Useage'!$A$4:$A$15&amp;'Gas Useage'!$B$4:$B$15,_xlfn.XLOOKUP(E$14,'Gas Useage'!$AA$3:$AB$3,'Gas Useage'!$AA$4:$AB$15))</f>
        <v>8.9453273555342841E-2</v>
      </c>
      <c r="F22" s="259" cm="1">
        <f t="array" aca="1" ref="F22" ca="1">_xlfn.XLOOKUP(F$13,INDIRECT("'"&amp;$B22&amp;" EI'!$B$6:$B$53"),_xlfn.XLOOKUP($C$10,INDIRECT("'"&amp;$B22&amp;" EI'!$D$4:$Z$4"),INDIRECT("'"&amp;$B22&amp;" EI'!$D$6:$Z$53")))*_xlfn.XLOOKUP($B22&amp;F$15,'Gas Useage'!$A$4:$A$15&amp;'Gas Useage'!$B$4:$B$15,_xlfn.XLOOKUP($C22&amp;F$14,'Gas Useage'!$C$2:$AB$2&amp;'Gas Useage'!$C$3:$AB$3,'Gas Useage'!$C$4:$AB$15))/_xlfn.XLOOKUP($B22&amp;F$15,'Gas Useage'!$A$4:$A$15&amp;'Gas Useage'!$B$4:$B$15,_xlfn.XLOOKUP(F$14,'Gas Useage'!$AA$3:$AB$3,'Gas Useage'!$AA$4:$AB$15))</f>
        <v>0.13838580715378884</v>
      </c>
      <c r="G22" s="259" cm="1">
        <f t="array" aca="1" ref="G22" ca="1">_xlfn.XLOOKUP(G$13,INDIRECT("'"&amp;$B22&amp;" EI'!$B$6:$B$53"),_xlfn.XLOOKUP($C$10,INDIRECT("'"&amp;$B22&amp;" EI'!$D$4:$Z$4"),INDIRECT("'"&amp;$B22&amp;" EI'!$D$6:$Z$53")))*_xlfn.XLOOKUP($B22&amp;G$15,'Gas Useage'!$A$4:$A$15&amp;'Gas Useage'!$B$4:$B$15,_xlfn.XLOOKUP($C22&amp;G$14,'Gas Useage'!$C$2:$AB$2&amp;'Gas Useage'!$C$3:$AB$3,'Gas Useage'!$C$4:$AB$15))/_xlfn.XLOOKUP($B22&amp;G$15,'Gas Useage'!$A$4:$A$15&amp;'Gas Useage'!$B$4:$B$15,_xlfn.XLOOKUP(G$14,'Gas Useage'!$AA$3:$AB$3,'Gas Useage'!$AA$4:$AB$15))</f>
        <v>5.6226390729976296E-2</v>
      </c>
      <c r="H22" s="260" t="s">
        <v>278</v>
      </c>
      <c r="I22" s="260" t="s">
        <v>278</v>
      </c>
      <c r="J22" s="260" t="s">
        <v>278</v>
      </c>
      <c r="K22" s="261" t="s">
        <v>278</v>
      </c>
      <c r="N22" s="258"/>
    </row>
    <row r="23" spans="2:14" ht="13.5" hidden="1" x14ac:dyDescent="0.25">
      <c r="B23" s="32">
        <v>2020</v>
      </c>
      <c r="C23" s="198" t="s">
        <v>285</v>
      </c>
      <c r="D23" s="259" cm="1">
        <f t="array" aca="1" ref="D23" ca="1">_xlfn.XLOOKUP(D$13,INDIRECT("'"&amp;$B23&amp;" EI'!$B$6:$B$53"),_xlfn.XLOOKUP($C$10,INDIRECT("'"&amp;$B23&amp;" EI'!$D$4:$Z$4"),INDIRECT("'"&amp;$B23&amp;" EI'!$D$6:$Z$53")))*_xlfn.XLOOKUP($B23&amp;D$15,'Gas Useage'!$A$4:$A$15&amp;'Gas Useage'!$B$4:$B$15,_xlfn.XLOOKUP($C23&amp;D$14,'Gas Useage'!$C$2:$AB$2&amp;'Gas Useage'!$C$3:$AB$3,'Gas Useage'!$C$4:$AB$15))/_xlfn.XLOOKUP($B23&amp;D$15,'Gas Useage'!$A$4:$A$15&amp;'Gas Useage'!$B$4:$B$15,_xlfn.XLOOKUP(D$14,'Gas Useage'!$AA$3:$AB$3,'Gas Useage'!$AA$4:$AB$15))</f>
        <v>0.22144260504219387</v>
      </c>
      <c r="E23" s="259" cm="1">
        <f t="array" aca="1" ref="E23" ca="1">_xlfn.XLOOKUP(E$13,INDIRECT("'"&amp;$B23&amp;" EI'!$B$6:$B$53"),_xlfn.XLOOKUP($C$10,INDIRECT("'"&amp;$B23&amp;" EI'!$D$4:$Z$4"),INDIRECT("'"&amp;$B23&amp;" EI'!$D$6:$Z$53")))*_xlfn.XLOOKUP($B23&amp;E$15,'Gas Useage'!$A$4:$A$15&amp;'Gas Useage'!$B$4:$B$15,_xlfn.XLOOKUP($C23&amp;E$14,'Gas Useage'!$C$2:$AB$2&amp;'Gas Useage'!$C$3:$AB$3,'Gas Useage'!$C$4:$AB$15))/_xlfn.XLOOKUP($B23&amp;E$15,'Gas Useage'!$A$4:$A$15&amp;'Gas Useage'!$B$4:$B$15,_xlfn.XLOOKUP(E$14,'Gas Useage'!$AA$3:$AB$3,'Gas Useage'!$AA$4:$AB$15))</f>
        <v>6.8411110784794546E-2</v>
      </c>
      <c r="F23" s="259" cm="1">
        <f t="array" aca="1" ref="F23" ca="1">_xlfn.XLOOKUP(F$13,INDIRECT("'"&amp;$B23&amp;" EI'!$B$6:$B$53"),_xlfn.XLOOKUP($C$10,INDIRECT("'"&amp;$B23&amp;" EI'!$D$4:$Z$4"),INDIRECT("'"&amp;$B23&amp;" EI'!$D$6:$Z$53")))*_xlfn.XLOOKUP($B23&amp;F$15,'Gas Useage'!$A$4:$A$15&amp;'Gas Useage'!$B$4:$B$15,_xlfn.XLOOKUP($C23&amp;F$14,'Gas Useage'!$C$2:$AB$2&amp;'Gas Useage'!$C$3:$AB$3,'Gas Useage'!$C$4:$AB$15))/_xlfn.XLOOKUP($B23&amp;F$15,'Gas Useage'!$A$4:$A$15&amp;'Gas Useage'!$B$4:$B$15,_xlfn.XLOOKUP(F$14,'Gas Useage'!$AA$3:$AB$3,'Gas Useage'!$AA$4:$AB$15))</f>
        <v>2.5655175145720938E-2</v>
      </c>
      <c r="G23" s="259" cm="1">
        <f t="array" aca="1" ref="G23" ca="1">_xlfn.XLOOKUP(G$13,INDIRECT("'"&amp;$B23&amp;" EI'!$B$6:$B$53"),_xlfn.XLOOKUP($C$10,INDIRECT("'"&amp;$B23&amp;" EI'!$D$4:$Z$4"),INDIRECT("'"&amp;$B23&amp;" EI'!$D$6:$Z$53")))*_xlfn.XLOOKUP($B23&amp;G$15,'Gas Useage'!$A$4:$A$15&amp;'Gas Useage'!$B$4:$B$15,_xlfn.XLOOKUP($C23&amp;G$14,'Gas Useage'!$C$2:$AB$2&amp;'Gas Useage'!$C$3:$AB$3,'Gas Useage'!$C$4:$AB$15))/_xlfn.XLOOKUP($B23&amp;G$15,'Gas Useage'!$A$4:$A$15&amp;'Gas Useage'!$B$4:$B$15,_xlfn.XLOOKUP(G$14,'Gas Useage'!$AA$3:$AB$3,'Gas Useage'!$AA$4:$AB$15))</f>
        <v>7.925751364615697E-3</v>
      </c>
      <c r="H23" s="260" t="s">
        <v>278</v>
      </c>
      <c r="I23" s="260" t="s">
        <v>278</v>
      </c>
      <c r="J23" s="260" t="s">
        <v>278</v>
      </c>
      <c r="K23" s="261" t="s">
        <v>278</v>
      </c>
      <c r="N23" s="258"/>
    </row>
    <row r="24" spans="2:14" ht="13.5" hidden="1" x14ac:dyDescent="0.25">
      <c r="B24" s="32">
        <v>2020</v>
      </c>
      <c r="C24" s="198" t="s">
        <v>286</v>
      </c>
      <c r="D24" s="259" cm="1">
        <f t="array" aca="1" ref="D24" ca="1">_xlfn.XLOOKUP(D$13,INDIRECT("'"&amp;$B24&amp;" EI'!$B$6:$B$53"),_xlfn.XLOOKUP($C$10,INDIRECT("'"&amp;$B24&amp;" EI'!$D$4:$Z$4"),INDIRECT("'"&amp;$B24&amp;" EI'!$D$6:$Z$53")))*_xlfn.XLOOKUP($B24&amp;D$15,'Gas Useage'!$A$4:$A$15&amp;'Gas Useage'!$B$4:$B$15,_xlfn.XLOOKUP($C24&amp;D$14,'Gas Useage'!$C$2:$AB$2&amp;'Gas Useage'!$C$3:$AB$3,'Gas Useage'!$C$4:$AB$15))/_xlfn.XLOOKUP($B24&amp;D$15,'Gas Useage'!$A$4:$A$15&amp;'Gas Useage'!$B$4:$B$15,_xlfn.XLOOKUP(D$14,'Gas Useage'!$AA$3:$AB$3,'Gas Useage'!$AA$4:$AB$15))</f>
        <v>6.0790971233949609E-2</v>
      </c>
      <c r="E24" s="259" cm="1">
        <f t="array" aca="1" ref="E24" ca="1">_xlfn.XLOOKUP(E$13,INDIRECT("'"&amp;$B24&amp;" EI'!$B$6:$B$53"),_xlfn.XLOOKUP($C$10,INDIRECT("'"&amp;$B24&amp;" EI'!$D$4:$Z$4"),INDIRECT("'"&amp;$B24&amp;" EI'!$D$6:$Z$53")))*_xlfn.XLOOKUP($B24&amp;E$15,'Gas Useage'!$A$4:$A$15&amp;'Gas Useage'!$B$4:$B$15,_xlfn.XLOOKUP($C24&amp;E$14,'Gas Useage'!$C$2:$AB$2&amp;'Gas Useage'!$C$3:$AB$3,'Gas Useage'!$C$4:$AB$15))/_xlfn.XLOOKUP($B24&amp;E$15,'Gas Useage'!$A$4:$A$15&amp;'Gas Useage'!$B$4:$B$15,_xlfn.XLOOKUP(E$14,'Gas Useage'!$AA$3:$AB$3,'Gas Useage'!$AA$4:$AB$15))</f>
        <v>3.0636495505584716E-2</v>
      </c>
      <c r="F24" s="259" cm="1">
        <f t="array" aca="1" ref="F24" ca="1">_xlfn.XLOOKUP(F$13,INDIRECT("'"&amp;$B24&amp;" EI'!$B$6:$B$53"),_xlfn.XLOOKUP($C$10,INDIRECT("'"&amp;$B24&amp;" EI'!$D$4:$Z$4"),INDIRECT("'"&amp;$B24&amp;" EI'!$D$6:$Z$53")))*_xlfn.XLOOKUP($B24&amp;F$15,'Gas Useage'!$A$4:$A$15&amp;'Gas Useage'!$B$4:$B$15,_xlfn.XLOOKUP($C24&amp;F$14,'Gas Useage'!$C$2:$AB$2&amp;'Gas Useage'!$C$3:$AB$3,'Gas Useage'!$C$4:$AB$15))/_xlfn.XLOOKUP($B24&amp;F$15,'Gas Useage'!$A$4:$A$15&amp;'Gas Useage'!$B$4:$B$15,_xlfn.XLOOKUP(F$14,'Gas Useage'!$AA$3:$AB$3,'Gas Useage'!$AA$4:$AB$15))</f>
        <v>4.1617107480994227E-4</v>
      </c>
      <c r="G24" s="259" cm="1">
        <f t="array" aca="1" ref="G24" ca="1">_xlfn.XLOOKUP(G$13,INDIRECT("'"&amp;$B24&amp;" EI'!$B$6:$B$53"),_xlfn.XLOOKUP($C$10,INDIRECT("'"&amp;$B24&amp;" EI'!$D$4:$Z$4"),INDIRECT("'"&amp;$B24&amp;" EI'!$D$6:$Z$53")))*_xlfn.XLOOKUP($B24&amp;G$15,'Gas Useage'!$A$4:$A$15&amp;'Gas Useage'!$B$4:$B$15,_xlfn.XLOOKUP($C24&amp;G$14,'Gas Useage'!$C$2:$AB$2&amp;'Gas Useage'!$C$3:$AB$3,'Gas Useage'!$C$4:$AB$15))/_xlfn.XLOOKUP($B24&amp;G$15,'Gas Useage'!$A$4:$A$15&amp;'Gas Useage'!$B$4:$B$15,_xlfn.XLOOKUP(G$14,'Gas Useage'!$AA$3:$AB$3,'Gas Useage'!$AA$4:$AB$15))</f>
        <v>2.0973547558405717E-4</v>
      </c>
      <c r="H24" s="260" t="s">
        <v>278</v>
      </c>
      <c r="I24" s="260" t="s">
        <v>278</v>
      </c>
      <c r="J24" s="260" t="s">
        <v>278</v>
      </c>
      <c r="K24" s="261" t="s">
        <v>278</v>
      </c>
      <c r="N24" s="258"/>
    </row>
    <row r="25" spans="2:14" ht="13.5" x14ac:dyDescent="0.25">
      <c r="B25" s="32">
        <v>2020</v>
      </c>
      <c r="C25" s="494" t="s">
        <v>287</v>
      </c>
      <c r="D25" s="259" cm="1">
        <f t="array" aca="1" ref="D25" ca="1">_xlfn.XLOOKUP(D$13,INDIRECT("'"&amp;$B25&amp;" EI'!$B$6:$B$53"),_xlfn.XLOOKUP($C$10,INDIRECT("'"&amp;$B25&amp;" EI'!$D$4:$Z$4"),INDIRECT("'"&amp;$B25&amp;" EI'!$D$6:$Z$53")))*_xlfn.XLOOKUP($B25&amp;D$15,'Gas Useage'!$A$4:$A$15&amp;'Gas Useage'!$B$4:$B$15,_xlfn.XLOOKUP($C25&amp;D$14,'Gas Useage'!$C$2:$AB$2&amp;'Gas Useage'!$C$3:$AB$3,'Gas Useage'!$C$4:$AB$15))/_xlfn.XLOOKUP($B25&amp;D$15,'Gas Useage'!$A$4:$A$15&amp;'Gas Useage'!$B$4:$B$15,_xlfn.XLOOKUP(D$14,'Gas Useage'!$AA$3:$AB$3,'Gas Useage'!$AA$4:$AB$15))</f>
        <v>7.0713052605788751E-2</v>
      </c>
      <c r="E25" s="259" cm="1">
        <f t="array" aca="1" ref="E25" ca="1">_xlfn.XLOOKUP(E$13,INDIRECT("'"&amp;$B25&amp;" EI'!$B$6:$B$53"),_xlfn.XLOOKUP($C$10,INDIRECT("'"&amp;$B25&amp;" EI'!$D$4:$Z$4"),INDIRECT("'"&amp;$B25&amp;" EI'!$D$6:$Z$53")))*_xlfn.XLOOKUP($B25&amp;E$15,'Gas Useage'!$A$4:$A$15&amp;'Gas Useage'!$B$4:$B$15,_xlfn.XLOOKUP($C25&amp;E$14,'Gas Useage'!$C$2:$AB$2&amp;'Gas Useage'!$C$3:$AB$3,'Gas Useage'!$C$4:$AB$15))/_xlfn.XLOOKUP($B25&amp;E$15,'Gas Useage'!$A$4:$A$15&amp;'Gas Useage'!$B$4:$B$15,_xlfn.XLOOKUP(E$14,'Gas Useage'!$AA$3:$AB$3,'Gas Useage'!$AA$4:$AB$15))</f>
        <v>2.4881425912057182E-2</v>
      </c>
      <c r="F25" s="259" cm="1">
        <f t="array" aca="1" ref="F25" ca="1">_xlfn.XLOOKUP(F$13,INDIRECT("'"&amp;$B25&amp;" EI'!$B$6:$B$53"),_xlfn.XLOOKUP($C$10,INDIRECT("'"&amp;$B25&amp;" EI'!$D$4:$Z$4"),INDIRECT("'"&amp;$B25&amp;" EI'!$D$6:$Z$53")))*_xlfn.XLOOKUP($B25&amp;F$15,'Gas Useage'!$A$4:$A$15&amp;'Gas Useage'!$B$4:$B$15,_xlfn.XLOOKUP($C25&amp;F$14,'Gas Useage'!$C$2:$AB$2&amp;'Gas Useage'!$C$3:$AB$3,'Gas Useage'!$C$4:$AB$15))/_xlfn.XLOOKUP($B25&amp;F$15,'Gas Useage'!$A$4:$A$15&amp;'Gas Useage'!$B$4:$B$15,_xlfn.XLOOKUP(F$14,'Gas Useage'!$AA$3:$AB$3,'Gas Useage'!$AA$4:$AB$15))</f>
        <v>0.16353509279199363</v>
      </c>
      <c r="G25" s="259" cm="1">
        <f t="array" aca="1" ref="G25" ca="1">_xlfn.XLOOKUP(G$13,INDIRECT("'"&amp;$B25&amp;" EI'!$B$6:$B$53"),_xlfn.XLOOKUP($C$10,INDIRECT("'"&amp;$B25&amp;" EI'!$D$4:$Z$4"),INDIRECT("'"&amp;$B25&amp;" EI'!$D$6:$Z$53")))*_xlfn.XLOOKUP($B25&amp;G$15,'Gas Useage'!$A$4:$A$15&amp;'Gas Useage'!$B$4:$B$15,_xlfn.XLOOKUP($C25&amp;G$14,'Gas Useage'!$C$2:$AB$2&amp;'Gas Useage'!$C$3:$AB$3,'Gas Useage'!$C$4:$AB$15))/_xlfn.XLOOKUP($B25&amp;G$15,'Gas Useage'!$A$4:$A$15&amp;'Gas Useage'!$B$4:$B$15,_xlfn.XLOOKUP(G$14,'Gas Useage'!$AA$3:$AB$3,'Gas Useage'!$AA$4:$AB$15))</f>
        <v>5.7542223753359649E-2</v>
      </c>
      <c r="H25" s="260" t="s">
        <v>278</v>
      </c>
      <c r="I25" s="260" t="s">
        <v>278</v>
      </c>
      <c r="J25" s="260" t="s">
        <v>278</v>
      </c>
      <c r="K25" s="261" t="s">
        <v>278</v>
      </c>
      <c r="N25" s="258"/>
    </row>
    <row r="26" spans="2:14" ht="13.5" x14ac:dyDescent="0.25">
      <c r="B26" s="32">
        <v>2020</v>
      </c>
      <c r="C26" s="494" t="s">
        <v>288</v>
      </c>
      <c r="D26" s="259" cm="1">
        <f t="array" aca="1" ref="D26" ca="1">_xlfn.XLOOKUP(D$13,INDIRECT("'"&amp;$B26&amp;" EI'!$B$6:$B$53"),_xlfn.XLOOKUP($C$10,INDIRECT("'"&amp;$B26&amp;" EI'!$D$4:$Z$4"),INDIRECT("'"&amp;$B26&amp;" EI'!$D$6:$Z$53")))*_xlfn.XLOOKUP($B26&amp;D$15,'Gas Useage'!$A$4:$A$15&amp;'Gas Useage'!$B$4:$B$15,_xlfn.XLOOKUP($C26&amp;D$14,'Gas Useage'!$C$2:$AB$2&amp;'Gas Useage'!$C$3:$AB$3,'Gas Useage'!$C$4:$AB$15))/_xlfn.XLOOKUP($B26&amp;D$15,'Gas Useage'!$A$4:$A$15&amp;'Gas Useage'!$B$4:$B$15,_xlfn.XLOOKUP(D$14,'Gas Useage'!$AA$3:$AB$3,'Gas Useage'!$AA$4:$AB$15))</f>
        <v>0.15247163190212873</v>
      </c>
      <c r="E26" s="259" cm="1">
        <f t="array" aca="1" ref="E26" ca="1">_xlfn.XLOOKUP(E$13,INDIRECT("'"&amp;$B26&amp;" EI'!$B$6:$B$53"),_xlfn.XLOOKUP($C$10,INDIRECT("'"&amp;$B26&amp;" EI'!$D$4:$Z$4"),INDIRECT("'"&amp;$B26&amp;" EI'!$D$6:$Z$53")))*_xlfn.XLOOKUP($B26&amp;E$15,'Gas Useage'!$A$4:$A$15&amp;'Gas Useage'!$B$4:$B$15,_xlfn.XLOOKUP($C26&amp;E$14,'Gas Useage'!$C$2:$AB$2&amp;'Gas Useage'!$C$3:$AB$3,'Gas Useage'!$C$4:$AB$15))/_xlfn.XLOOKUP($B26&amp;E$15,'Gas Useage'!$A$4:$A$15&amp;'Gas Useage'!$B$4:$B$15,_xlfn.XLOOKUP(E$14,'Gas Useage'!$AA$3:$AB$3,'Gas Useage'!$AA$4:$AB$15))</f>
        <v>7.247892762161251E-2</v>
      </c>
      <c r="F26" s="259" cm="1">
        <f t="array" aca="1" ref="F26" ca="1">_xlfn.XLOOKUP(F$13,INDIRECT("'"&amp;$B26&amp;" EI'!$B$6:$B$53"),_xlfn.XLOOKUP($C$10,INDIRECT("'"&amp;$B26&amp;" EI'!$D$4:$Z$4"),INDIRECT("'"&amp;$B26&amp;" EI'!$D$6:$Z$53")))*_xlfn.XLOOKUP($B26&amp;F$15,'Gas Useage'!$A$4:$A$15&amp;'Gas Useage'!$B$4:$B$15,_xlfn.XLOOKUP($C26&amp;F$14,'Gas Useage'!$C$2:$AB$2&amp;'Gas Useage'!$C$3:$AB$3,'Gas Useage'!$C$4:$AB$15))/_xlfn.XLOOKUP($B26&amp;F$15,'Gas Useage'!$A$4:$A$15&amp;'Gas Useage'!$B$4:$B$15,_xlfn.XLOOKUP(F$14,'Gas Useage'!$AA$3:$AB$3,'Gas Useage'!$AA$4:$AB$15))</f>
        <v>0.23079763090357608</v>
      </c>
      <c r="G26" s="259" cm="1">
        <f t="array" aca="1" ref="G26" ca="1">_xlfn.XLOOKUP(G$13,INDIRECT("'"&amp;$B26&amp;" EI'!$B$6:$B$53"),_xlfn.XLOOKUP($C$10,INDIRECT("'"&amp;$B26&amp;" EI'!$D$4:$Z$4"),INDIRECT("'"&amp;$B26&amp;" EI'!$D$6:$Z$53")))*_xlfn.XLOOKUP($B26&amp;G$15,'Gas Useage'!$A$4:$A$15&amp;'Gas Useage'!$B$4:$B$15,_xlfn.XLOOKUP($C26&amp;G$14,'Gas Useage'!$C$2:$AB$2&amp;'Gas Useage'!$C$3:$AB$3,'Gas Useage'!$C$4:$AB$15))/_xlfn.XLOOKUP($B26&amp;G$15,'Gas Useage'!$A$4:$A$15&amp;'Gas Useage'!$B$4:$B$15,_xlfn.XLOOKUP(G$14,'Gas Useage'!$AA$3:$AB$3,'Gas Useage'!$AA$4:$AB$15))</f>
        <v>0.10971198102108323</v>
      </c>
      <c r="H26" s="260" t="s">
        <v>278</v>
      </c>
      <c r="I26" s="260" t="s">
        <v>278</v>
      </c>
      <c r="J26" s="260" t="s">
        <v>278</v>
      </c>
      <c r="K26" s="261" t="s">
        <v>278</v>
      </c>
      <c r="N26" s="258"/>
    </row>
    <row r="27" spans="2:14" ht="13.5" x14ac:dyDescent="0.25">
      <c r="B27" s="32">
        <v>2020</v>
      </c>
      <c r="C27" s="494" t="s">
        <v>289</v>
      </c>
      <c r="D27" s="259" cm="1">
        <f t="array" aca="1" ref="D27" ca="1">_xlfn.XLOOKUP(D$13,INDIRECT("'"&amp;$B27&amp;" EI'!$B$6:$B$53"),_xlfn.XLOOKUP($C$10,INDIRECT("'"&amp;$B27&amp;" EI'!$D$4:$Z$4"),INDIRECT("'"&amp;$B27&amp;" EI'!$D$6:$Z$53")))*_xlfn.XLOOKUP($B27&amp;D$15,'Gas Useage'!$A$4:$A$15&amp;'Gas Useage'!$B$4:$B$15,_xlfn.XLOOKUP($C27&amp;D$14,'Gas Useage'!$C$2:$AB$2&amp;'Gas Useage'!$C$3:$AB$3,'Gas Useage'!$C$4:$AB$15))/_xlfn.XLOOKUP($B27&amp;D$15,'Gas Useage'!$A$4:$A$15&amp;'Gas Useage'!$B$4:$B$15,_xlfn.XLOOKUP(D$14,'Gas Useage'!$AA$3:$AB$3,'Gas Useage'!$AA$4:$AB$15))</f>
        <v>0.15247163190212873</v>
      </c>
      <c r="E27" s="259" cm="1">
        <f t="array" aca="1" ref="E27" ca="1">_xlfn.XLOOKUP(E$13,INDIRECT("'"&amp;$B27&amp;" EI'!$B$6:$B$53"),_xlfn.XLOOKUP($C$10,INDIRECT("'"&amp;$B27&amp;" EI'!$D$4:$Z$4"),INDIRECT("'"&amp;$B27&amp;" EI'!$D$6:$Z$53")))*_xlfn.XLOOKUP($B27&amp;E$15,'Gas Useage'!$A$4:$A$15&amp;'Gas Useage'!$B$4:$B$15,_xlfn.XLOOKUP($C27&amp;E$14,'Gas Useage'!$C$2:$AB$2&amp;'Gas Useage'!$C$3:$AB$3,'Gas Useage'!$C$4:$AB$15))/_xlfn.XLOOKUP($B27&amp;E$15,'Gas Useage'!$A$4:$A$15&amp;'Gas Useage'!$B$4:$B$15,_xlfn.XLOOKUP(E$14,'Gas Useage'!$AA$3:$AB$3,'Gas Useage'!$AA$4:$AB$15))</f>
        <v>7.247892762161251E-2</v>
      </c>
      <c r="F27" s="259" cm="1">
        <f t="array" aca="1" ref="F27" ca="1">_xlfn.XLOOKUP(F$13,INDIRECT("'"&amp;$B27&amp;" EI'!$B$6:$B$53"),_xlfn.XLOOKUP($C$10,INDIRECT("'"&amp;$B27&amp;" EI'!$D$4:$Z$4"),INDIRECT("'"&amp;$B27&amp;" EI'!$D$6:$Z$53")))*_xlfn.XLOOKUP($B27&amp;F$15,'Gas Useage'!$A$4:$A$15&amp;'Gas Useage'!$B$4:$B$15,_xlfn.XLOOKUP($C27&amp;F$14,'Gas Useage'!$C$2:$AB$2&amp;'Gas Useage'!$C$3:$AB$3,'Gas Useage'!$C$4:$AB$15))/_xlfn.XLOOKUP($B27&amp;F$15,'Gas Useage'!$A$4:$A$15&amp;'Gas Useage'!$B$4:$B$15,_xlfn.XLOOKUP(F$14,'Gas Useage'!$AA$3:$AB$3,'Gas Useage'!$AA$4:$AB$15))</f>
        <v>0.23079763090357608</v>
      </c>
      <c r="G27" s="259" cm="1">
        <f t="array" aca="1" ref="G27" ca="1">_xlfn.XLOOKUP(G$13,INDIRECT("'"&amp;$B27&amp;" EI'!$B$6:$B$53"),_xlfn.XLOOKUP($C$10,INDIRECT("'"&amp;$B27&amp;" EI'!$D$4:$Z$4"),INDIRECT("'"&amp;$B27&amp;" EI'!$D$6:$Z$53")))*_xlfn.XLOOKUP($B27&amp;G$15,'Gas Useage'!$A$4:$A$15&amp;'Gas Useage'!$B$4:$B$15,_xlfn.XLOOKUP($C27&amp;G$14,'Gas Useage'!$C$2:$AB$2&amp;'Gas Useage'!$C$3:$AB$3,'Gas Useage'!$C$4:$AB$15))/_xlfn.XLOOKUP($B27&amp;G$15,'Gas Useage'!$A$4:$A$15&amp;'Gas Useage'!$B$4:$B$15,_xlfn.XLOOKUP(G$14,'Gas Useage'!$AA$3:$AB$3,'Gas Useage'!$AA$4:$AB$15))</f>
        <v>0.10971198102108323</v>
      </c>
      <c r="H27" s="260" t="s">
        <v>278</v>
      </c>
      <c r="I27" s="260" t="s">
        <v>278</v>
      </c>
      <c r="J27" s="260" t="s">
        <v>278</v>
      </c>
      <c r="K27" s="261" t="s">
        <v>278</v>
      </c>
      <c r="N27" s="258"/>
    </row>
    <row r="28" spans="2:14" ht="13.5" x14ac:dyDescent="0.25">
      <c r="B28" s="32">
        <v>2021</v>
      </c>
      <c r="C28" s="494" t="s">
        <v>277</v>
      </c>
      <c r="D28" s="259" cm="1">
        <f t="array" aca="1" ref="D28" ca="1">_xlfn.XLOOKUP(D$13,INDIRECT("'"&amp;$B28&amp;" EI'!$B$6:$B$53"),_xlfn.XLOOKUP($C$10,INDIRECT("'"&amp;$B28&amp;" EI'!$D$4:$Z$4"),INDIRECT("'"&amp;$B28&amp;" EI'!$D$6:$Z$53")))*_xlfn.XLOOKUP($B28&amp;D$15,'Gas Useage'!$A$4:$A$15&amp;'Gas Useage'!$B$4:$B$15,_xlfn.XLOOKUP($C28&amp;D$14,'Gas Useage'!$C$2:$AB$2&amp;'Gas Useage'!$C$3:$AB$3,'Gas Useage'!$C$4:$AB$15))/_xlfn.XLOOKUP($B28&amp;D$15,'Gas Useage'!$A$4:$A$15&amp;'Gas Useage'!$B$4:$B$15,_xlfn.XLOOKUP(D$14,'Gas Useage'!$AA$3:$AB$3,'Gas Useage'!$AA$4:$AB$15))</f>
        <v>0.22123675282992841</v>
      </c>
      <c r="E28" s="259" cm="1">
        <f t="array" aca="1" ref="E28" ca="1">_xlfn.XLOOKUP(E$13,INDIRECT("'"&amp;$B28&amp;" EI'!$B$6:$B$53"),_xlfn.XLOOKUP($C$10,INDIRECT("'"&amp;$B28&amp;" EI'!$D$4:$Z$4"),INDIRECT("'"&amp;$B28&amp;" EI'!$D$6:$Z$53")))*_xlfn.XLOOKUP($B28&amp;E$15,'Gas Useage'!$A$4:$A$15&amp;'Gas Useage'!$B$4:$B$15,_xlfn.XLOOKUP($C28&amp;E$14,'Gas Useage'!$C$2:$AB$2&amp;'Gas Useage'!$C$3:$AB$3,'Gas Useage'!$C$4:$AB$15))/_xlfn.XLOOKUP($B28&amp;E$15,'Gas Useage'!$A$4:$A$15&amp;'Gas Useage'!$B$4:$B$15,_xlfn.XLOOKUP(E$14,'Gas Useage'!$AA$3:$AB$3,'Gas Useage'!$AA$4:$AB$15))</f>
        <v>3.4480655018892664E-2</v>
      </c>
      <c r="F28" s="259" cm="1">
        <f t="array" aca="1" ref="F28" ca="1">_xlfn.XLOOKUP(F$13,INDIRECT("'"&amp;$B28&amp;" EI'!$B$6:$B$53"),_xlfn.XLOOKUP($C$10,INDIRECT("'"&amp;$B28&amp;" EI'!$D$4:$Z$4"),INDIRECT("'"&amp;$B28&amp;" EI'!$D$6:$Z$53")))*_xlfn.XLOOKUP($B28&amp;F$15,'Gas Useage'!$A$4:$A$15&amp;'Gas Useage'!$B$4:$B$15,_xlfn.XLOOKUP($C28&amp;F$14,'Gas Useage'!$C$2:$AB$2&amp;'Gas Useage'!$C$3:$AB$3,'Gas Useage'!$C$4:$AB$15))/_xlfn.XLOOKUP($B28&amp;F$15,'Gas Useage'!$A$4:$A$15&amp;'Gas Useage'!$B$4:$B$15,_xlfn.XLOOKUP(F$14,'Gas Useage'!$AA$3:$AB$3,'Gas Useage'!$AA$4:$AB$15))</f>
        <v>0.2740675513834388</v>
      </c>
      <c r="G28" s="259" cm="1">
        <f t="array" aca="1" ref="G28" ca="1">_xlfn.XLOOKUP(G$13,INDIRECT("'"&amp;$B28&amp;" EI'!$B$6:$B$53"),_xlfn.XLOOKUP($C$10,INDIRECT("'"&amp;$B28&amp;" EI'!$D$4:$Z$4"),INDIRECT("'"&amp;$B28&amp;" EI'!$D$6:$Z$53")))*_xlfn.XLOOKUP($B28&amp;G$15,'Gas Useage'!$A$4:$A$15&amp;'Gas Useage'!$B$4:$B$15,_xlfn.XLOOKUP($C28&amp;G$14,'Gas Useage'!$C$2:$AB$2&amp;'Gas Useage'!$C$3:$AB$3,'Gas Useage'!$C$4:$AB$15))/_xlfn.XLOOKUP($B28&amp;G$15,'Gas Useage'!$A$4:$A$15&amp;'Gas Useage'!$B$4:$B$15,_xlfn.XLOOKUP(G$14,'Gas Useage'!$AA$3:$AB$3,'Gas Useage'!$AA$4:$AB$15))</f>
        <v>4.2714551584426483E-2</v>
      </c>
      <c r="H28" s="260" t="s">
        <v>278</v>
      </c>
      <c r="I28" s="260" t="s">
        <v>278</v>
      </c>
      <c r="J28" s="260" t="s">
        <v>278</v>
      </c>
      <c r="K28" s="261" t="s">
        <v>278</v>
      </c>
      <c r="N28" s="258"/>
    </row>
    <row r="29" spans="2:14" ht="13.5" x14ac:dyDescent="0.25">
      <c r="B29" s="32">
        <v>2021</v>
      </c>
      <c r="C29" s="494" t="s">
        <v>279</v>
      </c>
      <c r="D29" s="259" cm="1">
        <f t="array" aca="1" ref="D29" ca="1">_xlfn.XLOOKUP(D$13,INDIRECT("'"&amp;$B29&amp;" EI'!$B$6:$B$53"),_xlfn.XLOOKUP($C$10,INDIRECT("'"&amp;$B29&amp;" EI'!$D$4:$Z$4"),INDIRECT("'"&amp;$B29&amp;" EI'!$D$6:$Z$53")))*_xlfn.XLOOKUP($B29&amp;D$15,'Gas Useage'!$A$4:$A$15&amp;'Gas Useage'!$B$4:$B$15,_xlfn.XLOOKUP($C29&amp;D$14,'Gas Useage'!$C$2:$AB$2&amp;'Gas Useage'!$C$3:$AB$3,'Gas Useage'!$C$4:$AB$15))/_xlfn.XLOOKUP($B29&amp;D$15,'Gas Useage'!$A$4:$A$15&amp;'Gas Useage'!$B$4:$B$15,_xlfn.XLOOKUP(D$14,'Gas Useage'!$AA$3:$AB$3,'Gas Useage'!$AA$4:$AB$15))</f>
        <v>0.15015263140592394</v>
      </c>
      <c r="E29" s="259" cm="1">
        <f t="array" aca="1" ref="E29" ca="1">_xlfn.XLOOKUP(E$13,INDIRECT("'"&amp;$B29&amp;" EI'!$B$6:$B$53"),_xlfn.XLOOKUP($C$10,INDIRECT("'"&amp;$B29&amp;" EI'!$D$4:$Z$4"),INDIRECT("'"&amp;$B29&amp;" EI'!$D$6:$Z$53")))*_xlfn.XLOOKUP($B29&amp;E$15,'Gas Useage'!$A$4:$A$15&amp;'Gas Useage'!$B$4:$B$15,_xlfn.XLOOKUP($C29&amp;E$14,'Gas Useage'!$C$2:$AB$2&amp;'Gas Useage'!$C$3:$AB$3,'Gas Useage'!$C$4:$AB$15))/_xlfn.XLOOKUP($B29&amp;E$15,'Gas Useage'!$A$4:$A$15&amp;'Gas Useage'!$B$4:$B$15,_xlfn.XLOOKUP(E$14,'Gas Useage'!$AA$3:$AB$3,'Gas Useage'!$AA$4:$AB$15))</f>
        <v>4.9888015816799108E-2</v>
      </c>
      <c r="F29" s="259" cm="1">
        <f t="array" aca="1" ref="F29" ca="1">_xlfn.XLOOKUP(F$13,INDIRECT("'"&amp;$B29&amp;" EI'!$B$6:$B$53"),_xlfn.XLOOKUP($C$10,INDIRECT("'"&amp;$B29&amp;" EI'!$D$4:$Z$4"),INDIRECT("'"&amp;$B29&amp;" EI'!$D$6:$Z$53")))*_xlfn.XLOOKUP($B29&amp;F$15,'Gas Useage'!$A$4:$A$15&amp;'Gas Useage'!$B$4:$B$15,_xlfn.XLOOKUP($C29&amp;F$14,'Gas Useage'!$C$2:$AB$2&amp;'Gas Useage'!$C$3:$AB$3,'Gas Useage'!$C$4:$AB$15))/_xlfn.XLOOKUP($B29&amp;F$15,'Gas Useage'!$A$4:$A$15&amp;'Gas Useage'!$B$4:$B$15,_xlfn.XLOOKUP(F$14,'Gas Useage'!$AA$3:$AB$3,'Gas Useage'!$AA$4:$AB$15))</f>
        <v>0.20588479490654898</v>
      </c>
      <c r="G29" s="259" cm="1">
        <f t="array" aca="1" ref="G29" ca="1">_xlfn.XLOOKUP(G$13,INDIRECT("'"&amp;$B29&amp;" EI'!$B$6:$B$53"),_xlfn.XLOOKUP($C$10,INDIRECT("'"&amp;$B29&amp;" EI'!$D$4:$Z$4"),INDIRECT("'"&amp;$B29&amp;" EI'!$D$6:$Z$53")))*_xlfn.XLOOKUP($B29&amp;G$15,'Gas Useage'!$A$4:$A$15&amp;'Gas Useage'!$B$4:$B$15,_xlfn.XLOOKUP($C29&amp;G$14,'Gas Useage'!$C$2:$AB$2&amp;'Gas Useage'!$C$3:$AB$3,'Gas Useage'!$C$4:$AB$15))/_xlfn.XLOOKUP($B29&amp;G$15,'Gas Useage'!$A$4:$A$15&amp;'Gas Useage'!$B$4:$B$15,_xlfn.XLOOKUP(G$14,'Gas Useage'!$AA$3:$AB$3,'Gas Useage'!$AA$4:$AB$15))</f>
        <v>6.8404954402491586E-2</v>
      </c>
      <c r="H29" s="260" t="s">
        <v>278</v>
      </c>
      <c r="I29" s="260" t="s">
        <v>278</v>
      </c>
      <c r="J29" s="260" t="s">
        <v>278</v>
      </c>
      <c r="K29" s="261" t="s">
        <v>278</v>
      </c>
      <c r="N29" s="258"/>
    </row>
    <row r="30" spans="2:14" ht="13.5" x14ac:dyDescent="0.25">
      <c r="B30" s="32">
        <v>2021</v>
      </c>
      <c r="C30" s="494" t="s">
        <v>280</v>
      </c>
      <c r="D30" s="259" cm="1">
        <f t="array" aca="1" ref="D30" ca="1">_xlfn.XLOOKUP(D$13,INDIRECT("'"&amp;$B30&amp;" EI'!$B$6:$B$53"),_xlfn.XLOOKUP($C$10,INDIRECT("'"&amp;$B30&amp;" EI'!$D$4:$Z$4"),INDIRECT("'"&amp;$B30&amp;" EI'!$D$6:$Z$53")))*_xlfn.XLOOKUP($B30&amp;D$15,'Gas Useage'!$A$4:$A$15&amp;'Gas Useage'!$B$4:$B$15,_xlfn.XLOOKUP($C30&amp;D$14,'Gas Useage'!$C$2:$AB$2&amp;'Gas Useage'!$C$3:$AB$3,'Gas Useage'!$C$4:$AB$15))/_xlfn.XLOOKUP($B30&amp;D$15,'Gas Useage'!$A$4:$A$15&amp;'Gas Useage'!$B$4:$B$15,_xlfn.XLOOKUP(D$14,'Gas Useage'!$AA$3:$AB$3,'Gas Useage'!$AA$4:$AB$15))</f>
        <v>0.31384904876283315</v>
      </c>
      <c r="E30" s="259" cm="1">
        <f t="array" aca="1" ref="E30" ca="1">_xlfn.XLOOKUP(E$13,INDIRECT("'"&amp;$B30&amp;" EI'!$B$6:$B$53"),_xlfn.XLOOKUP($C$10,INDIRECT("'"&amp;$B30&amp;" EI'!$D$4:$Z$4"),INDIRECT("'"&amp;$B30&amp;" EI'!$D$6:$Z$53")))*_xlfn.XLOOKUP($B30&amp;E$15,'Gas Useage'!$A$4:$A$15&amp;'Gas Useage'!$B$4:$B$15,_xlfn.XLOOKUP($C30&amp;E$14,'Gas Useage'!$C$2:$AB$2&amp;'Gas Useage'!$C$3:$AB$3,'Gas Useage'!$C$4:$AB$15))/_xlfn.XLOOKUP($B30&amp;E$15,'Gas Useage'!$A$4:$A$15&amp;'Gas Useage'!$B$4:$B$15,_xlfn.XLOOKUP(E$14,'Gas Useage'!$AA$3:$AB$3,'Gas Useage'!$AA$4:$AB$15))</f>
        <v>8.1528473655774009E-2</v>
      </c>
      <c r="F30" s="259" cm="1">
        <f t="array" aca="1" ref="F30" ca="1">_xlfn.XLOOKUP(F$13,INDIRECT("'"&amp;$B30&amp;" EI'!$B$6:$B$53"),_xlfn.XLOOKUP($C$10,INDIRECT("'"&amp;$B30&amp;" EI'!$D$4:$Z$4"),INDIRECT("'"&amp;$B30&amp;" EI'!$D$6:$Z$53")))*_xlfn.XLOOKUP($B30&amp;F$15,'Gas Useage'!$A$4:$A$15&amp;'Gas Useage'!$B$4:$B$15,_xlfn.XLOOKUP($C30&amp;F$14,'Gas Useage'!$C$2:$AB$2&amp;'Gas Useage'!$C$3:$AB$3,'Gas Useage'!$C$4:$AB$15))/_xlfn.XLOOKUP($B30&amp;F$15,'Gas Useage'!$A$4:$A$15&amp;'Gas Useage'!$B$4:$B$15,_xlfn.XLOOKUP(F$14,'Gas Useage'!$AA$3:$AB$3,'Gas Useage'!$AA$4:$AB$15))</f>
        <v>0.21688495624428231</v>
      </c>
      <c r="G30" s="259" cm="1">
        <f t="array" aca="1" ref="G30" ca="1">_xlfn.XLOOKUP(G$13,INDIRECT("'"&amp;$B30&amp;" EI'!$B$6:$B$53"),_xlfn.XLOOKUP($C$10,INDIRECT("'"&amp;$B30&amp;" EI'!$D$4:$Z$4"),INDIRECT("'"&amp;$B30&amp;" EI'!$D$6:$Z$53")))*_xlfn.XLOOKUP($B30&amp;G$15,'Gas Useage'!$A$4:$A$15&amp;'Gas Useage'!$B$4:$B$15,_xlfn.XLOOKUP($C30&amp;G$14,'Gas Useage'!$C$2:$AB$2&amp;'Gas Useage'!$C$3:$AB$3,'Gas Useage'!$C$4:$AB$15))/_xlfn.XLOOKUP($B30&amp;G$15,'Gas Useage'!$A$4:$A$15&amp;'Gas Useage'!$B$4:$B$15,_xlfn.XLOOKUP(G$14,'Gas Useage'!$AA$3:$AB$3,'Gas Useage'!$AA$4:$AB$15))</f>
        <v>5.6340140303747351E-2</v>
      </c>
      <c r="H30" s="260" t="s">
        <v>278</v>
      </c>
      <c r="I30" s="260" t="s">
        <v>278</v>
      </c>
      <c r="J30" s="260" t="s">
        <v>278</v>
      </c>
      <c r="K30" s="261" t="s">
        <v>278</v>
      </c>
      <c r="N30" s="258"/>
    </row>
    <row r="31" spans="2:14" ht="13.5" x14ac:dyDescent="0.25">
      <c r="B31" s="32">
        <v>2021</v>
      </c>
      <c r="C31" s="494" t="s">
        <v>281</v>
      </c>
      <c r="D31" s="259" cm="1">
        <f t="array" aca="1" ref="D31" ca="1">_xlfn.XLOOKUP(D$13,INDIRECT("'"&amp;$B31&amp;" EI'!$B$6:$B$53"),_xlfn.XLOOKUP($C$10,INDIRECT("'"&amp;$B31&amp;" EI'!$D$4:$Z$4"),INDIRECT("'"&amp;$B31&amp;" EI'!$D$6:$Z$53")))*_xlfn.XLOOKUP($B31&amp;D$15,'Gas Useage'!$A$4:$A$15&amp;'Gas Useage'!$B$4:$B$15,_xlfn.XLOOKUP($C31&amp;D$14,'Gas Useage'!$C$2:$AB$2&amp;'Gas Useage'!$C$3:$AB$3,'Gas Useage'!$C$4:$AB$15))/_xlfn.XLOOKUP($B31&amp;D$15,'Gas Useage'!$A$4:$A$15&amp;'Gas Useage'!$B$4:$B$15,_xlfn.XLOOKUP(D$14,'Gas Useage'!$AA$3:$AB$3,'Gas Useage'!$AA$4:$AB$15))</f>
        <v>0.14084424455833097</v>
      </c>
      <c r="E31" s="259" cm="1">
        <f t="array" aca="1" ref="E31" ca="1">_xlfn.XLOOKUP(E$13,INDIRECT("'"&amp;$B31&amp;" EI'!$B$6:$B$53"),_xlfn.XLOOKUP($C$10,INDIRECT("'"&amp;$B31&amp;" EI'!$D$4:$Z$4"),INDIRECT("'"&amp;$B31&amp;" EI'!$D$6:$Z$53")))*_xlfn.XLOOKUP($B31&amp;E$15,'Gas Useage'!$A$4:$A$15&amp;'Gas Useage'!$B$4:$B$15,_xlfn.XLOOKUP($C31&amp;E$14,'Gas Useage'!$C$2:$AB$2&amp;'Gas Useage'!$C$3:$AB$3,'Gas Useage'!$C$4:$AB$15))/_xlfn.XLOOKUP($B31&amp;E$15,'Gas Useage'!$A$4:$A$15&amp;'Gas Useage'!$B$4:$B$15,_xlfn.XLOOKUP(E$14,'Gas Useage'!$AA$3:$AB$3,'Gas Useage'!$AA$4:$AB$15))</f>
        <v>2.9950206079079944E-2</v>
      </c>
      <c r="F31" s="259" cm="1">
        <f t="array" aca="1" ref="F31" ca="1">_xlfn.XLOOKUP(F$13,INDIRECT("'"&amp;$B31&amp;" EI'!$B$6:$B$53"),_xlfn.XLOOKUP($C$10,INDIRECT("'"&amp;$B31&amp;" EI'!$D$4:$Z$4"),INDIRECT("'"&amp;$B31&amp;" EI'!$D$6:$Z$53")))*_xlfn.XLOOKUP($B31&amp;F$15,'Gas Useage'!$A$4:$A$15&amp;'Gas Useage'!$B$4:$B$15,_xlfn.XLOOKUP($C31&amp;F$14,'Gas Useage'!$C$2:$AB$2&amp;'Gas Useage'!$C$3:$AB$3,'Gas Useage'!$C$4:$AB$15))/_xlfn.XLOOKUP($B31&amp;F$15,'Gas Useage'!$A$4:$A$15&amp;'Gas Useage'!$B$4:$B$15,_xlfn.XLOOKUP(F$14,'Gas Useage'!$AA$3:$AB$3,'Gas Useage'!$AA$4:$AB$15))</f>
        <v>0.20619491102082368</v>
      </c>
      <c r="G31" s="259" cm="1">
        <f t="array" aca="1" ref="G31" ca="1">_xlfn.XLOOKUP(G$13,INDIRECT("'"&amp;$B31&amp;" EI'!$B$6:$B$53"),_xlfn.XLOOKUP($C$10,INDIRECT("'"&amp;$B31&amp;" EI'!$D$4:$Z$4"),INDIRECT("'"&amp;$B31&amp;" EI'!$D$6:$Z$53")))*_xlfn.XLOOKUP($B31&amp;G$15,'Gas Useage'!$A$4:$A$15&amp;'Gas Useage'!$B$4:$B$15,_xlfn.XLOOKUP($C31&amp;G$14,'Gas Useage'!$C$2:$AB$2&amp;'Gas Useage'!$C$3:$AB$3,'Gas Useage'!$C$4:$AB$15))/_xlfn.XLOOKUP($B31&amp;G$15,'Gas Useage'!$A$4:$A$15&amp;'Gas Useage'!$B$4:$B$15,_xlfn.XLOOKUP(G$14,'Gas Useage'!$AA$3:$AB$3,'Gas Useage'!$AA$4:$AB$15))</f>
        <v>4.3846875652583661E-2</v>
      </c>
      <c r="H31" s="260" t="s">
        <v>278</v>
      </c>
      <c r="I31" s="260" t="s">
        <v>278</v>
      </c>
      <c r="J31" s="260" t="s">
        <v>278</v>
      </c>
      <c r="K31" s="261" t="s">
        <v>278</v>
      </c>
      <c r="N31" s="258"/>
    </row>
    <row r="32" spans="2:14" ht="13.5" x14ac:dyDescent="0.25">
      <c r="B32" s="32">
        <v>2021</v>
      </c>
      <c r="C32" s="494" t="s">
        <v>282</v>
      </c>
      <c r="D32" s="259" cm="1">
        <f t="array" aca="1" ref="D32" ca="1">_xlfn.XLOOKUP(D$13,INDIRECT("'"&amp;$B32&amp;" EI'!$B$6:$B$53"),_xlfn.XLOOKUP($C$10,INDIRECT("'"&amp;$B32&amp;" EI'!$D$4:$Z$4"),INDIRECT("'"&amp;$B32&amp;" EI'!$D$6:$Z$53")))*_xlfn.XLOOKUP($B32&amp;D$15,'Gas Useage'!$A$4:$A$15&amp;'Gas Useage'!$B$4:$B$15,_xlfn.XLOOKUP($C32&amp;D$14,'Gas Useage'!$C$2:$AB$2&amp;'Gas Useage'!$C$3:$AB$3,'Gas Useage'!$C$4:$AB$15))/_xlfn.XLOOKUP($B32&amp;D$15,'Gas Useage'!$A$4:$A$15&amp;'Gas Useage'!$B$4:$B$15,_xlfn.XLOOKUP(D$14,'Gas Useage'!$AA$3:$AB$3,'Gas Useage'!$AA$4:$AB$15))</f>
        <v>0.10285700209566591</v>
      </c>
      <c r="E32" s="259" cm="1">
        <f t="array" aca="1" ref="E32" ca="1">_xlfn.XLOOKUP(E$13,INDIRECT("'"&amp;$B32&amp;" EI'!$B$6:$B$53"),_xlfn.XLOOKUP($C$10,INDIRECT("'"&amp;$B32&amp;" EI'!$D$4:$Z$4"),INDIRECT("'"&amp;$B32&amp;" EI'!$D$6:$Z$53")))*_xlfn.XLOOKUP($B32&amp;E$15,'Gas Useage'!$A$4:$A$15&amp;'Gas Useage'!$B$4:$B$15,_xlfn.XLOOKUP($C32&amp;E$14,'Gas Useage'!$C$2:$AB$2&amp;'Gas Useage'!$C$3:$AB$3,'Gas Useage'!$C$4:$AB$15))/_xlfn.XLOOKUP($B32&amp;E$15,'Gas Useage'!$A$4:$A$15&amp;'Gas Useage'!$B$4:$B$15,_xlfn.XLOOKUP(E$14,'Gas Useage'!$AA$3:$AB$3,'Gas Useage'!$AA$4:$AB$15))</f>
        <v>1.9700764774112679E-2</v>
      </c>
      <c r="F32" s="259" cm="1">
        <f t="array" aca="1" ref="F32" ca="1">_xlfn.XLOOKUP(F$13,INDIRECT("'"&amp;$B32&amp;" EI'!$B$6:$B$53"),_xlfn.XLOOKUP($C$10,INDIRECT("'"&amp;$B32&amp;" EI'!$D$4:$Z$4"),INDIRECT("'"&amp;$B32&amp;" EI'!$D$6:$Z$53")))*_xlfn.XLOOKUP($B32&amp;F$15,'Gas Useage'!$A$4:$A$15&amp;'Gas Useage'!$B$4:$B$15,_xlfn.XLOOKUP($C32&amp;F$14,'Gas Useage'!$C$2:$AB$2&amp;'Gas Useage'!$C$3:$AB$3,'Gas Useage'!$C$4:$AB$15))/_xlfn.XLOOKUP($B32&amp;F$15,'Gas Useage'!$A$4:$A$15&amp;'Gas Useage'!$B$4:$B$15,_xlfn.XLOOKUP(F$14,'Gas Useage'!$AA$3:$AB$3,'Gas Useage'!$AA$4:$AB$15))</f>
        <v>0.1984428951680573</v>
      </c>
      <c r="G32" s="259" cm="1">
        <f t="array" aca="1" ref="G32" ca="1">_xlfn.XLOOKUP(G$13,INDIRECT("'"&amp;$B32&amp;" EI'!$B$6:$B$53"),_xlfn.XLOOKUP($C$10,INDIRECT("'"&amp;$B32&amp;" EI'!$D$4:$Z$4"),INDIRECT("'"&amp;$B32&amp;" EI'!$D$6:$Z$53")))*_xlfn.XLOOKUP($B32&amp;G$15,'Gas Useage'!$A$4:$A$15&amp;'Gas Useage'!$B$4:$B$15,_xlfn.XLOOKUP($C32&amp;G$14,'Gas Useage'!$C$2:$AB$2&amp;'Gas Useage'!$C$3:$AB$3,'Gas Useage'!$C$4:$AB$15))/_xlfn.XLOOKUP($B32&amp;G$15,'Gas Useage'!$A$4:$A$15&amp;'Gas Useage'!$B$4:$B$15,_xlfn.XLOOKUP(G$14,'Gas Useage'!$AA$3:$AB$3,'Gas Useage'!$AA$4:$AB$15))</f>
        <v>3.8008854226216381E-2</v>
      </c>
      <c r="H32" s="260" t="s">
        <v>278</v>
      </c>
      <c r="I32" s="260" t="s">
        <v>278</v>
      </c>
      <c r="J32" s="260" t="s">
        <v>278</v>
      </c>
      <c r="K32" s="261" t="s">
        <v>278</v>
      </c>
      <c r="N32" s="258"/>
    </row>
    <row r="33" spans="2:14" ht="13.5" x14ac:dyDescent="0.25">
      <c r="B33" s="32">
        <v>2021</v>
      </c>
      <c r="C33" s="494" t="s">
        <v>283</v>
      </c>
      <c r="D33" s="259" cm="1">
        <f t="array" aca="1" ref="D33" ca="1">_xlfn.XLOOKUP(D$13,INDIRECT("'"&amp;$B33&amp;" EI'!$B$6:$B$53"),_xlfn.XLOOKUP($C$10,INDIRECT("'"&amp;$B33&amp;" EI'!$D$4:$Z$4"),INDIRECT("'"&amp;$B33&amp;" EI'!$D$6:$Z$53")))*_xlfn.XLOOKUP($B33&amp;D$15,'Gas Useage'!$A$4:$A$15&amp;'Gas Useage'!$B$4:$B$15,_xlfn.XLOOKUP($C33&amp;D$14,'Gas Useage'!$C$2:$AB$2&amp;'Gas Useage'!$C$3:$AB$3,'Gas Useage'!$C$4:$AB$15))/_xlfn.XLOOKUP($B33&amp;D$15,'Gas Useage'!$A$4:$A$15&amp;'Gas Useage'!$B$4:$B$15,_xlfn.XLOOKUP(D$14,'Gas Useage'!$AA$3:$AB$3,'Gas Useage'!$AA$4:$AB$15))</f>
        <v>4.6687193797495884E-2</v>
      </c>
      <c r="E33" s="259" cm="1">
        <f t="array" aca="1" ref="E33" ca="1">_xlfn.XLOOKUP(E$13,INDIRECT("'"&amp;$B33&amp;" EI'!$B$6:$B$53"),_xlfn.XLOOKUP($C$10,INDIRECT("'"&amp;$B33&amp;" EI'!$D$4:$Z$4"),INDIRECT("'"&amp;$B33&amp;" EI'!$D$6:$Z$53")))*_xlfn.XLOOKUP($B33&amp;E$15,'Gas Useage'!$A$4:$A$15&amp;'Gas Useage'!$B$4:$B$15,_xlfn.XLOOKUP($C33&amp;E$14,'Gas Useage'!$C$2:$AB$2&amp;'Gas Useage'!$C$3:$AB$3,'Gas Useage'!$C$4:$AB$15))/_xlfn.XLOOKUP($B33&amp;E$15,'Gas Useage'!$A$4:$A$15&amp;'Gas Useage'!$B$4:$B$15,_xlfn.XLOOKUP(E$14,'Gas Useage'!$AA$3:$AB$3,'Gas Useage'!$AA$4:$AB$15))</f>
        <v>6.7915191950036289E-3</v>
      </c>
      <c r="F33" s="259" cm="1">
        <f t="array" aca="1" ref="F33" ca="1">_xlfn.XLOOKUP(F$13,INDIRECT("'"&amp;$B33&amp;" EI'!$B$6:$B$53"),_xlfn.XLOOKUP($C$10,INDIRECT("'"&amp;$B33&amp;" EI'!$D$4:$Z$4"),INDIRECT("'"&amp;$B33&amp;" EI'!$D$6:$Z$53")))*_xlfn.XLOOKUP($B33&amp;F$15,'Gas Useage'!$A$4:$A$15&amp;'Gas Useage'!$B$4:$B$15,_xlfn.XLOOKUP($C33&amp;F$14,'Gas Useage'!$C$2:$AB$2&amp;'Gas Useage'!$C$3:$AB$3,'Gas Useage'!$C$4:$AB$15))/_xlfn.XLOOKUP($B33&amp;F$15,'Gas Useage'!$A$4:$A$15&amp;'Gas Useage'!$B$4:$B$15,_xlfn.XLOOKUP(F$14,'Gas Useage'!$AA$3:$AB$3,'Gas Useage'!$AA$4:$AB$15))</f>
        <v>9.4583068839507456E-2</v>
      </c>
      <c r="G33" s="259" cm="1">
        <f t="array" aca="1" ref="G33" ca="1">_xlfn.XLOOKUP(G$13,INDIRECT("'"&amp;$B33&amp;" EI'!$B$6:$B$53"),_xlfn.XLOOKUP($C$10,INDIRECT("'"&amp;$B33&amp;" EI'!$D$4:$Z$4"),INDIRECT("'"&amp;$B33&amp;" EI'!$D$6:$Z$53")))*_xlfn.XLOOKUP($B33&amp;G$15,'Gas Useage'!$A$4:$A$15&amp;'Gas Useage'!$B$4:$B$15,_xlfn.XLOOKUP($C33&amp;G$14,'Gas Useage'!$C$2:$AB$2&amp;'Gas Useage'!$C$3:$AB$3,'Gas Useage'!$C$4:$AB$15))/_xlfn.XLOOKUP($B33&amp;G$15,'Gas Useage'!$A$4:$A$15&amp;'Gas Useage'!$B$4:$B$15,_xlfn.XLOOKUP(G$14,'Gas Useage'!$AA$3:$AB$3,'Gas Useage'!$AA$4:$AB$15))</f>
        <v>1.3758863519021745E-2</v>
      </c>
      <c r="H33" s="260" t="s">
        <v>278</v>
      </c>
      <c r="I33" s="260" t="s">
        <v>278</v>
      </c>
      <c r="J33" s="260" t="s">
        <v>278</v>
      </c>
      <c r="K33" s="261" t="s">
        <v>278</v>
      </c>
      <c r="N33" s="258"/>
    </row>
    <row r="34" spans="2:14" ht="13.5" x14ac:dyDescent="0.25">
      <c r="B34" s="32">
        <v>2021</v>
      </c>
      <c r="C34" s="494" t="s">
        <v>284</v>
      </c>
      <c r="D34" s="259" cm="1">
        <f t="array" aca="1" ref="D34" ca="1">_xlfn.XLOOKUP(D$13,INDIRECT("'"&amp;$B34&amp;" EI'!$B$6:$B$53"),_xlfn.XLOOKUP($C$10,INDIRECT("'"&amp;$B34&amp;" EI'!$D$4:$Z$4"),INDIRECT("'"&amp;$B34&amp;" EI'!$D$6:$Z$53")))*_xlfn.XLOOKUP($B34&amp;D$15,'Gas Useage'!$A$4:$A$15&amp;'Gas Useage'!$B$4:$B$15,_xlfn.XLOOKUP($C34&amp;D$14,'Gas Useage'!$C$2:$AB$2&amp;'Gas Useage'!$C$3:$AB$3,'Gas Useage'!$C$4:$AB$15))/_xlfn.XLOOKUP($B34&amp;D$15,'Gas Useage'!$A$4:$A$15&amp;'Gas Useage'!$B$4:$B$15,_xlfn.XLOOKUP(D$14,'Gas Useage'!$AA$3:$AB$3,'Gas Useage'!$AA$4:$AB$15))</f>
        <v>0.10438916985392177</v>
      </c>
      <c r="E34" s="259" cm="1">
        <f t="array" aca="1" ref="E34" ca="1">_xlfn.XLOOKUP(E$13,INDIRECT("'"&amp;$B34&amp;" EI'!$B$6:$B$53"),_xlfn.XLOOKUP($C$10,INDIRECT("'"&amp;$B34&amp;" EI'!$D$4:$Z$4"),INDIRECT("'"&amp;$B34&amp;" EI'!$D$6:$Z$53")))*_xlfn.XLOOKUP($B34&amp;E$15,'Gas Useage'!$A$4:$A$15&amp;'Gas Useage'!$B$4:$B$15,_xlfn.XLOOKUP($C34&amp;E$14,'Gas Useage'!$C$2:$AB$2&amp;'Gas Useage'!$C$3:$AB$3,'Gas Useage'!$C$4:$AB$15))/_xlfn.XLOOKUP($B34&amp;E$15,'Gas Useage'!$A$4:$A$15&amp;'Gas Useage'!$B$4:$B$15,_xlfn.XLOOKUP(E$14,'Gas Useage'!$AA$3:$AB$3,'Gas Useage'!$AA$4:$AB$15))</f>
        <v>1.142252896705296E-2</v>
      </c>
      <c r="F34" s="259" cm="1">
        <f t="array" aca="1" ref="F34" ca="1">_xlfn.XLOOKUP(F$13,INDIRECT("'"&amp;$B34&amp;" EI'!$B$6:$B$53"),_xlfn.XLOOKUP($C$10,INDIRECT("'"&amp;$B34&amp;" EI'!$D$4:$Z$4"),INDIRECT("'"&amp;$B34&amp;" EI'!$D$6:$Z$53")))*_xlfn.XLOOKUP($B34&amp;F$15,'Gas Useage'!$A$4:$A$15&amp;'Gas Useage'!$B$4:$B$15,_xlfn.XLOOKUP($C34&amp;F$14,'Gas Useage'!$C$2:$AB$2&amp;'Gas Useage'!$C$3:$AB$3,'Gas Useage'!$C$4:$AB$15))/_xlfn.XLOOKUP($B34&amp;F$15,'Gas Useage'!$A$4:$A$15&amp;'Gas Useage'!$B$4:$B$15,_xlfn.XLOOKUP(F$14,'Gas Useage'!$AA$3:$AB$3,'Gas Useage'!$AA$4:$AB$15))</f>
        <v>0.11662372391517224</v>
      </c>
      <c r="G34" s="259" cm="1">
        <f t="array" aca="1" ref="G34" ca="1">_xlfn.XLOOKUP(G$13,INDIRECT("'"&amp;$B34&amp;" EI'!$B$6:$B$53"),_xlfn.XLOOKUP($C$10,INDIRECT("'"&amp;$B34&amp;" EI'!$D$4:$Z$4"),INDIRECT("'"&amp;$B34&amp;" EI'!$D$6:$Z$53")))*_xlfn.XLOOKUP($B34&amp;G$15,'Gas Useage'!$A$4:$A$15&amp;'Gas Useage'!$B$4:$B$15,_xlfn.XLOOKUP($C34&amp;G$14,'Gas Useage'!$C$2:$AB$2&amp;'Gas Useage'!$C$3:$AB$3,'Gas Useage'!$C$4:$AB$15))/_xlfn.XLOOKUP($B34&amp;G$15,'Gas Useage'!$A$4:$A$15&amp;'Gas Useage'!$B$4:$B$15,_xlfn.XLOOKUP(G$14,'Gas Useage'!$AA$3:$AB$3,'Gas Useage'!$AA$4:$AB$15))</f>
        <v>1.2761265048192116E-2</v>
      </c>
      <c r="H34" s="260" t="s">
        <v>278</v>
      </c>
      <c r="I34" s="260" t="s">
        <v>278</v>
      </c>
      <c r="J34" s="260" t="s">
        <v>278</v>
      </c>
      <c r="K34" s="261" t="s">
        <v>278</v>
      </c>
      <c r="N34" s="258"/>
    </row>
    <row r="35" spans="2:14" ht="13.5" x14ac:dyDescent="0.25">
      <c r="B35" s="32">
        <v>2021</v>
      </c>
      <c r="C35" s="494" t="s">
        <v>285</v>
      </c>
      <c r="D35" s="259" cm="1">
        <f t="array" aca="1" ref="D35" ca="1">_xlfn.XLOOKUP(D$13,INDIRECT("'"&amp;$B35&amp;" EI'!$B$6:$B$53"),_xlfn.XLOOKUP($C$10,INDIRECT("'"&amp;$B35&amp;" EI'!$D$4:$Z$4"),INDIRECT("'"&amp;$B35&amp;" EI'!$D$6:$Z$53")))*_xlfn.XLOOKUP($B35&amp;D$15,'Gas Useage'!$A$4:$A$15&amp;'Gas Useage'!$B$4:$B$15,_xlfn.XLOOKUP($C35&amp;D$14,'Gas Useage'!$C$2:$AB$2&amp;'Gas Useage'!$C$3:$AB$3,'Gas Useage'!$C$4:$AB$15))/_xlfn.XLOOKUP($B35&amp;D$15,'Gas Useage'!$A$4:$A$15&amp;'Gas Useage'!$B$4:$B$15,_xlfn.XLOOKUP(D$14,'Gas Useage'!$AA$3:$AB$3,'Gas Useage'!$AA$4:$AB$15))</f>
        <v>0.12585225485409562</v>
      </c>
      <c r="E35" s="259" cm="1">
        <f t="array" aca="1" ref="E35" ca="1">_xlfn.XLOOKUP(E$13,INDIRECT("'"&amp;$B35&amp;" EI'!$B$6:$B$53"),_xlfn.XLOOKUP($C$10,INDIRECT("'"&amp;$B35&amp;" EI'!$D$4:$Z$4"),INDIRECT("'"&amp;$B35&amp;" EI'!$D$6:$Z$53")))*_xlfn.XLOOKUP($B35&amp;E$15,'Gas Useage'!$A$4:$A$15&amp;'Gas Useage'!$B$4:$B$15,_xlfn.XLOOKUP($C35&amp;E$14,'Gas Useage'!$C$2:$AB$2&amp;'Gas Useage'!$C$3:$AB$3,'Gas Useage'!$C$4:$AB$15))/_xlfn.XLOOKUP($B35&amp;E$15,'Gas Useage'!$A$4:$A$15&amp;'Gas Useage'!$B$4:$B$15,_xlfn.XLOOKUP(E$14,'Gas Useage'!$AA$3:$AB$3,'Gas Useage'!$AA$4:$AB$15))</f>
        <v>3.8185412925030103E-2</v>
      </c>
      <c r="F35" s="259" cm="1">
        <f t="array" aca="1" ref="F35" ca="1">_xlfn.XLOOKUP(F$13,INDIRECT("'"&amp;$B35&amp;" EI'!$B$6:$B$53"),_xlfn.XLOOKUP($C$10,INDIRECT("'"&amp;$B35&amp;" EI'!$D$4:$Z$4"),INDIRECT("'"&amp;$B35&amp;" EI'!$D$6:$Z$53")))*_xlfn.XLOOKUP($B35&amp;F$15,'Gas Useage'!$A$4:$A$15&amp;'Gas Useage'!$B$4:$B$15,_xlfn.XLOOKUP($C35&amp;F$14,'Gas Useage'!$C$2:$AB$2&amp;'Gas Useage'!$C$3:$AB$3,'Gas Useage'!$C$4:$AB$15))/_xlfn.XLOOKUP($B35&amp;F$15,'Gas Useage'!$A$4:$A$15&amp;'Gas Useage'!$B$4:$B$15,_xlfn.XLOOKUP(F$14,'Gas Useage'!$AA$3:$AB$3,'Gas Useage'!$AA$4:$AB$15))</f>
        <v>0.10733518277308074</v>
      </c>
      <c r="G35" s="259" cm="1">
        <f t="array" aca="1" ref="G35" ca="1">_xlfn.XLOOKUP(G$13,INDIRECT("'"&amp;$B35&amp;" EI'!$B$6:$B$53"),_xlfn.XLOOKUP($C$10,INDIRECT("'"&amp;$B35&amp;" EI'!$D$4:$Z$4"),INDIRECT("'"&amp;$B35&amp;" EI'!$D$6:$Z$53")))*_xlfn.XLOOKUP($B35&amp;G$15,'Gas Useage'!$A$4:$A$15&amp;'Gas Useage'!$B$4:$B$15,_xlfn.XLOOKUP($C35&amp;G$14,'Gas Useage'!$C$2:$AB$2&amp;'Gas Useage'!$C$3:$AB$3,'Gas Useage'!$C$4:$AB$15))/_xlfn.XLOOKUP($B35&amp;G$15,'Gas Useage'!$A$4:$A$15&amp;'Gas Useage'!$B$4:$B$15,_xlfn.XLOOKUP(G$14,'Gas Useage'!$AA$3:$AB$3,'Gas Useage'!$AA$4:$AB$15))</f>
        <v>3.2567062706388067E-2</v>
      </c>
      <c r="H35" s="260" t="s">
        <v>278</v>
      </c>
      <c r="I35" s="260" t="s">
        <v>278</v>
      </c>
      <c r="J35" s="260" t="s">
        <v>278</v>
      </c>
      <c r="K35" s="261" t="s">
        <v>278</v>
      </c>
      <c r="N35" s="258"/>
    </row>
    <row r="36" spans="2:14" ht="13.5" x14ac:dyDescent="0.25">
      <c r="B36" s="32">
        <v>2021</v>
      </c>
      <c r="C36" s="494" t="s">
        <v>286</v>
      </c>
      <c r="D36" s="259" cm="1">
        <f t="array" aca="1" ref="D36" ca="1">_xlfn.XLOOKUP(D$13,INDIRECT("'"&amp;$B36&amp;" EI'!$B$6:$B$53"),_xlfn.XLOOKUP($C$10,INDIRECT("'"&amp;$B36&amp;" EI'!$D$4:$Z$4"),INDIRECT("'"&amp;$B36&amp;" EI'!$D$6:$Z$53")))*_xlfn.XLOOKUP($B36&amp;D$15,'Gas Useage'!$A$4:$A$15&amp;'Gas Useage'!$B$4:$B$15,_xlfn.XLOOKUP($C36&amp;D$14,'Gas Useage'!$C$2:$AB$2&amp;'Gas Useage'!$C$3:$AB$3,'Gas Useage'!$C$4:$AB$15))/_xlfn.XLOOKUP($B36&amp;D$15,'Gas Useage'!$A$4:$A$15&amp;'Gas Useage'!$B$4:$B$15,_xlfn.XLOOKUP(D$14,'Gas Useage'!$AA$3:$AB$3,'Gas Useage'!$AA$4:$AB$15))</f>
        <v>7.5301567716835882E-2</v>
      </c>
      <c r="E36" s="259" cm="1">
        <f t="array" aca="1" ref="E36" ca="1">_xlfn.XLOOKUP(E$13,INDIRECT("'"&amp;$B36&amp;" EI'!$B$6:$B$53"),_xlfn.XLOOKUP($C$10,INDIRECT("'"&amp;$B36&amp;" EI'!$D$4:$Z$4"),INDIRECT("'"&amp;$B36&amp;" EI'!$D$6:$Z$53")))*_xlfn.XLOOKUP($B36&amp;E$15,'Gas Useage'!$A$4:$A$15&amp;'Gas Useage'!$B$4:$B$15,_xlfn.XLOOKUP($C36&amp;E$14,'Gas Useage'!$C$2:$AB$2&amp;'Gas Useage'!$C$3:$AB$3,'Gas Useage'!$C$4:$AB$15))/_xlfn.XLOOKUP($B36&amp;E$15,'Gas Useage'!$A$4:$A$15&amp;'Gas Useage'!$B$4:$B$15,_xlfn.XLOOKUP(E$14,'Gas Useage'!$AA$3:$AB$3,'Gas Useage'!$AA$4:$AB$15))</f>
        <v>2.0459480181412196E-2</v>
      </c>
      <c r="F36" s="259" cm="1">
        <f t="array" aca="1" ref="F36" ca="1">_xlfn.XLOOKUP(F$13,INDIRECT("'"&amp;$B36&amp;" EI'!$B$6:$B$53"),_xlfn.XLOOKUP($C$10,INDIRECT("'"&amp;$B36&amp;" EI'!$D$4:$Z$4"),INDIRECT("'"&amp;$B36&amp;" EI'!$D$6:$Z$53")))*_xlfn.XLOOKUP($B36&amp;F$15,'Gas Useage'!$A$4:$A$15&amp;'Gas Useage'!$B$4:$B$15,_xlfn.XLOOKUP($C36&amp;F$14,'Gas Useage'!$C$2:$AB$2&amp;'Gas Useage'!$C$3:$AB$3,'Gas Useage'!$C$4:$AB$15))/_xlfn.XLOOKUP($B36&amp;F$15,'Gas Useage'!$A$4:$A$15&amp;'Gas Useage'!$B$4:$B$15,_xlfn.XLOOKUP(F$14,'Gas Useage'!$AA$3:$AB$3,'Gas Useage'!$AA$4:$AB$15))</f>
        <v>5.9975052611048914E-2</v>
      </c>
      <c r="G36" s="259" cm="1">
        <f t="array" aca="1" ref="G36" ca="1">_xlfn.XLOOKUP(G$13,INDIRECT("'"&amp;$B36&amp;" EI'!$B$6:$B$53"),_xlfn.XLOOKUP($C$10,INDIRECT("'"&amp;$B36&amp;" EI'!$D$4:$Z$4"),INDIRECT("'"&amp;$B36&amp;" EI'!$D$6:$Z$53")))*_xlfn.XLOOKUP($B36&amp;G$15,'Gas Useage'!$A$4:$A$15&amp;'Gas Useage'!$B$4:$B$15,_xlfn.XLOOKUP($C36&amp;G$14,'Gas Useage'!$C$2:$AB$2&amp;'Gas Useage'!$C$3:$AB$3,'Gas Useage'!$C$4:$AB$15))/_xlfn.XLOOKUP($B36&amp;G$15,'Gas Useage'!$A$4:$A$15&amp;'Gas Useage'!$B$4:$B$15,_xlfn.XLOOKUP(G$14,'Gas Useage'!$AA$3:$AB$3,'Gas Useage'!$AA$4:$AB$15))</f>
        <v>1.6295257024251355E-2</v>
      </c>
      <c r="H36" s="260" t="s">
        <v>278</v>
      </c>
      <c r="I36" s="260" t="s">
        <v>278</v>
      </c>
      <c r="J36" s="260" t="s">
        <v>278</v>
      </c>
      <c r="K36" s="261" t="s">
        <v>278</v>
      </c>
      <c r="N36" s="258"/>
    </row>
    <row r="37" spans="2:14" ht="13.5" x14ac:dyDescent="0.25">
      <c r="B37" s="32">
        <v>2021</v>
      </c>
      <c r="C37" s="494" t="s">
        <v>287</v>
      </c>
      <c r="D37" s="259" cm="1">
        <f t="array" aca="1" ref="D37" ca="1">_xlfn.XLOOKUP(D$13,INDIRECT("'"&amp;$B37&amp;" EI'!$B$6:$B$53"),_xlfn.XLOOKUP($C$10,INDIRECT("'"&amp;$B37&amp;" EI'!$D$4:$Z$4"),INDIRECT("'"&amp;$B37&amp;" EI'!$D$6:$Z$53")))*_xlfn.XLOOKUP($B37&amp;D$15,'Gas Useage'!$A$4:$A$15&amp;'Gas Useage'!$B$4:$B$15,_xlfn.XLOOKUP($C37&amp;D$14,'Gas Useage'!$C$2:$AB$2&amp;'Gas Useage'!$C$3:$AB$3,'Gas Useage'!$C$4:$AB$15))/_xlfn.XLOOKUP($B37&amp;D$15,'Gas Useage'!$A$4:$A$15&amp;'Gas Useage'!$B$4:$B$15,_xlfn.XLOOKUP(D$14,'Gas Useage'!$AA$3:$AB$3,'Gas Useage'!$AA$4:$AB$15))</f>
        <v>8.0460613559720062E-2</v>
      </c>
      <c r="E37" s="259" cm="1">
        <f t="array" aca="1" ref="E37" ca="1">_xlfn.XLOOKUP(E$13,INDIRECT("'"&amp;$B37&amp;" EI'!$B$6:$B$53"),_xlfn.XLOOKUP($C$10,INDIRECT("'"&amp;$B37&amp;" EI'!$D$4:$Z$4"),INDIRECT("'"&amp;$B37&amp;" EI'!$D$6:$Z$53")))*_xlfn.XLOOKUP($B37&amp;E$15,'Gas Useage'!$A$4:$A$15&amp;'Gas Useage'!$B$4:$B$15,_xlfn.XLOOKUP($C37&amp;E$14,'Gas Useage'!$C$2:$AB$2&amp;'Gas Useage'!$C$3:$AB$3,'Gas Useage'!$C$4:$AB$15))/_xlfn.XLOOKUP($B37&amp;E$15,'Gas Useage'!$A$4:$A$15&amp;'Gas Useage'!$B$4:$B$15,_xlfn.XLOOKUP(E$14,'Gas Useage'!$AA$3:$AB$3,'Gas Useage'!$AA$4:$AB$15))</f>
        <v>1.9506063732669523E-2</v>
      </c>
      <c r="F37" s="259" cm="1">
        <f t="array" aca="1" ref="F37" ca="1">_xlfn.XLOOKUP(F$13,INDIRECT("'"&amp;$B37&amp;" EI'!$B$6:$B$53"),_xlfn.XLOOKUP($C$10,INDIRECT("'"&amp;$B37&amp;" EI'!$D$4:$Z$4"),INDIRECT("'"&amp;$B37&amp;" EI'!$D$6:$Z$53")))*_xlfn.XLOOKUP($B37&amp;F$15,'Gas Useage'!$A$4:$A$15&amp;'Gas Useage'!$B$4:$B$15,_xlfn.XLOOKUP($C37&amp;F$14,'Gas Useage'!$C$2:$AB$2&amp;'Gas Useage'!$C$3:$AB$3,'Gas Useage'!$C$4:$AB$15))/_xlfn.XLOOKUP($B37&amp;F$15,'Gas Useage'!$A$4:$A$15&amp;'Gas Useage'!$B$4:$B$15,_xlfn.XLOOKUP(F$14,'Gas Useage'!$AA$3:$AB$3,'Gas Useage'!$AA$4:$AB$15))</f>
        <v>6.5524278666865957E-2</v>
      </c>
      <c r="G37" s="259" cm="1">
        <f t="array" aca="1" ref="G37" ca="1">_xlfn.XLOOKUP(G$13,INDIRECT("'"&amp;$B37&amp;" EI'!$B$6:$B$53"),_xlfn.XLOOKUP($C$10,INDIRECT("'"&amp;$B37&amp;" EI'!$D$4:$Z$4"),INDIRECT("'"&amp;$B37&amp;" EI'!$D$6:$Z$53")))*_xlfn.XLOOKUP($B37&amp;G$15,'Gas Useage'!$A$4:$A$15&amp;'Gas Useage'!$B$4:$B$15,_xlfn.XLOOKUP($C37&amp;G$14,'Gas Useage'!$C$2:$AB$2&amp;'Gas Useage'!$C$3:$AB$3,'Gas Useage'!$C$4:$AB$15))/_xlfn.XLOOKUP($B37&amp;G$15,'Gas Useage'!$A$4:$A$15&amp;'Gas Useage'!$B$4:$B$15,_xlfn.XLOOKUP(G$14,'Gas Useage'!$AA$3:$AB$3,'Gas Useage'!$AA$4:$AB$15))</f>
        <v>1.5885048586715401E-2</v>
      </c>
      <c r="H37" s="260" t="s">
        <v>278</v>
      </c>
      <c r="I37" s="260" t="s">
        <v>278</v>
      </c>
      <c r="J37" s="260" t="s">
        <v>278</v>
      </c>
      <c r="K37" s="261" t="s">
        <v>278</v>
      </c>
      <c r="N37" s="258"/>
    </row>
    <row r="38" spans="2:14" ht="13.5" x14ac:dyDescent="0.25">
      <c r="B38" s="32">
        <v>2021</v>
      </c>
      <c r="C38" s="494" t="s">
        <v>288</v>
      </c>
      <c r="D38" s="259" cm="1">
        <f t="array" aca="1" ref="D38" ca="1">_xlfn.XLOOKUP(D$13,INDIRECT("'"&amp;$B38&amp;" EI'!$B$6:$B$53"),_xlfn.XLOOKUP($C$10,INDIRECT("'"&amp;$B38&amp;" EI'!$D$4:$Z$4"),INDIRECT("'"&amp;$B38&amp;" EI'!$D$6:$Z$53")))*_xlfn.XLOOKUP($B38&amp;D$15,'Gas Useage'!$A$4:$A$15&amp;'Gas Useage'!$B$4:$B$15,_xlfn.XLOOKUP($C38&amp;D$14,'Gas Useage'!$C$2:$AB$2&amp;'Gas Useage'!$C$3:$AB$3,'Gas Useage'!$C$4:$AB$15))/_xlfn.XLOOKUP($B38&amp;D$15,'Gas Useage'!$A$4:$A$15&amp;'Gas Useage'!$B$4:$B$15,_xlfn.XLOOKUP(D$14,'Gas Useage'!$AA$3:$AB$3,'Gas Useage'!$AA$4:$AB$15))</f>
        <v>0.25352256595752509</v>
      </c>
      <c r="E38" s="259" cm="1">
        <f t="array" aca="1" ref="E38" ca="1">_xlfn.XLOOKUP(E$13,INDIRECT("'"&amp;$B38&amp;" EI'!$B$6:$B$53"),_xlfn.XLOOKUP($C$10,INDIRECT("'"&amp;$B38&amp;" EI'!$D$4:$Z$4"),INDIRECT("'"&amp;$B38&amp;" EI'!$D$6:$Z$53")))*_xlfn.XLOOKUP($B38&amp;E$15,'Gas Useage'!$A$4:$A$15&amp;'Gas Useage'!$B$4:$B$15,_xlfn.XLOOKUP($C38&amp;E$14,'Gas Useage'!$C$2:$AB$2&amp;'Gas Useage'!$C$3:$AB$3,'Gas Useage'!$C$4:$AB$15))/_xlfn.XLOOKUP($B38&amp;E$15,'Gas Useage'!$A$4:$A$15&amp;'Gas Useage'!$B$4:$B$15,_xlfn.XLOOKUP(E$14,'Gas Useage'!$AA$3:$AB$3,'Gas Useage'!$AA$4:$AB$15))</f>
        <v>9.2357298457304879E-2</v>
      </c>
      <c r="F38" s="259" cm="1">
        <f t="array" aca="1" ref="F38" ca="1">_xlfn.XLOOKUP(F$13,INDIRECT("'"&amp;$B38&amp;" EI'!$B$6:$B$53"),_xlfn.XLOOKUP($C$10,INDIRECT("'"&amp;$B38&amp;" EI'!$D$4:$Z$4"),INDIRECT("'"&amp;$B38&amp;" EI'!$D$6:$Z$53")))*_xlfn.XLOOKUP($B38&amp;F$15,'Gas Useage'!$A$4:$A$15&amp;'Gas Useage'!$B$4:$B$15,_xlfn.XLOOKUP($C38&amp;F$14,'Gas Useage'!$C$2:$AB$2&amp;'Gas Useage'!$C$3:$AB$3,'Gas Useage'!$C$4:$AB$15))/_xlfn.XLOOKUP($B38&amp;F$15,'Gas Useage'!$A$4:$A$15&amp;'Gas Useage'!$B$4:$B$15,_xlfn.XLOOKUP(F$14,'Gas Useage'!$AA$3:$AB$3,'Gas Useage'!$AA$4:$AB$15))</f>
        <v>0.2310237476965385</v>
      </c>
      <c r="G38" s="259" cm="1">
        <f t="array" aca="1" ref="G38" ca="1">_xlfn.XLOOKUP(G$13,INDIRECT("'"&amp;$B38&amp;" EI'!$B$6:$B$53"),_xlfn.XLOOKUP($C$10,INDIRECT("'"&amp;$B38&amp;" EI'!$D$4:$Z$4"),INDIRECT("'"&amp;$B38&amp;" EI'!$D$6:$Z$53")))*_xlfn.XLOOKUP($B38&amp;G$15,'Gas Useage'!$A$4:$A$15&amp;'Gas Useage'!$B$4:$B$15,_xlfn.XLOOKUP($C38&amp;G$14,'Gas Useage'!$C$2:$AB$2&amp;'Gas Useage'!$C$3:$AB$3,'Gas Useage'!$C$4:$AB$15))/_xlfn.XLOOKUP($B38&amp;G$15,'Gas Useage'!$A$4:$A$15&amp;'Gas Useage'!$B$4:$B$15,_xlfn.XLOOKUP(G$14,'Gas Useage'!$AA$3:$AB$3,'Gas Useage'!$AA$4:$AB$15))</f>
        <v>8.4161065253295975E-2</v>
      </c>
      <c r="H38" s="260" t="s">
        <v>278</v>
      </c>
      <c r="I38" s="260" t="s">
        <v>278</v>
      </c>
      <c r="J38" s="260" t="s">
        <v>278</v>
      </c>
      <c r="K38" s="261" t="s">
        <v>278</v>
      </c>
      <c r="N38" s="258"/>
    </row>
    <row r="39" spans="2:14" ht="13.5" x14ac:dyDescent="0.25">
      <c r="B39" s="32">
        <v>2021</v>
      </c>
      <c r="C39" s="494" t="s">
        <v>289</v>
      </c>
      <c r="D39" s="259" cm="1">
        <f t="array" aca="1" ref="D39" ca="1">_xlfn.XLOOKUP(D$13,INDIRECT("'"&amp;$B39&amp;" EI'!$B$6:$B$53"),_xlfn.XLOOKUP($C$10,INDIRECT("'"&amp;$B39&amp;" EI'!$D$4:$Z$4"),INDIRECT("'"&amp;$B39&amp;" EI'!$D$6:$Z$53")))*_xlfn.XLOOKUP($B39&amp;D$15,'Gas Useage'!$A$4:$A$15&amp;'Gas Useage'!$B$4:$B$15,_xlfn.XLOOKUP($C39&amp;D$14,'Gas Useage'!$C$2:$AB$2&amp;'Gas Useage'!$C$3:$AB$3,'Gas Useage'!$C$4:$AB$15))/_xlfn.XLOOKUP($B39&amp;D$15,'Gas Useage'!$A$4:$A$15&amp;'Gas Useage'!$B$4:$B$15,_xlfn.XLOOKUP(D$14,'Gas Useage'!$AA$3:$AB$3,'Gas Useage'!$AA$4:$AB$15))</f>
        <v>0.15208287938841872</v>
      </c>
      <c r="E39" s="259" cm="1">
        <f t="array" aca="1" ref="E39" ca="1">_xlfn.XLOOKUP(E$13,INDIRECT("'"&amp;$B39&amp;" EI'!$B$6:$B$53"),_xlfn.XLOOKUP($C$10,INDIRECT("'"&amp;$B39&amp;" EI'!$D$4:$Z$4"),INDIRECT("'"&amp;$B39&amp;" EI'!$D$6:$Z$53")))*_xlfn.XLOOKUP($B39&amp;E$15,'Gas Useage'!$A$4:$A$15&amp;'Gas Useage'!$B$4:$B$15,_xlfn.XLOOKUP($C39&amp;E$14,'Gas Useage'!$C$2:$AB$2&amp;'Gas Useage'!$C$3:$AB$3,'Gas Useage'!$C$4:$AB$15))/_xlfn.XLOOKUP($B39&amp;E$15,'Gas Useage'!$A$4:$A$15&amp;'Gas Useage'!$B$4:$B$15,_xlfn.XLOOKUP(E$14,'Gas Useage'!$AA$3:$AB$3,'Gas Useage'!$AA$4:$AB$15))</f>
        <v>5.3005383085169326E-2</v>
      </c>
      <c r="F39" s="259" cm="1">
        <f t="array" aca="1" ref="F39" ca="1">_xlfn.XLOOKUP(F$13,INDIRECT("'"&amp;$B39&amp;" EI'!$B$6:$B$53"),_xlfn.XLOOKUP($C$10,INDIRECT("'"&amp;$B39&amp;" EI'!$D$4:$Z$4"),INDIRECT("'"&amp;$B39&amp;" EI'!$D$6:$Z$53")))*_xlfn.XLOOKUP($B39&amp;F$15,'Gas Useage'!$A$4:$A$15&amp;'Gas Useage'!$B$4:$B$15,_xlfn.XLOOKUP($C39&amp;F$14,'Gas Useage'!$C$2:$AB$2&amp;'Gas Useage'!$C$3:$AB$3,'Gas Useage'!$C$4:$AB$15))/_xlfn.XLOOKUP($B39&amp;F$15,'Gas Useage'!$A$4:$A$15&amp;'Gas Useage'!$B$4:$B$15,_xlfn.XLOOKUP(F$14,'Gas Useage'!$AA$3:$AB$3,'Gas Useage'!$AA$4:$AB$15))</f>
        <v>0.1477189517158673</v>
      </c>
      <c r="G39" s="259" cm="1">
        <f t="array" aca="1" ref="G39" ca="1">_xlfn.XLOOKUP(G$13,INDIRECT("'"&amp;$B39&amp;" EI'!$B$6:$B$53"),_xlfn.XLOOKUP($C$10,INDIRECT("'"&amp;$B39&amp;" EI'!$D$4:$Z$4"),INDIRECT("'"&amp;$B39&amp;" EI'!$D$6:$Z$53")))*_xlfn.XLOOKUP($B39&amp;G$15,'Gas Useage'!$A$4:$A$15&amp;'Gas Useage'!$B$4:$B$15,_xlfn.XLOOKUP($C39&amp;G$14,'Gas Useage'!$C$2:$AB$2&amp;'Gas Useage'!$C$3:$AB$3,'Gas Useage'!$C$4:$AB$15))/_xlfn.XLOOKUP($B39&amp;G$15,'Gas Useage'!$A$4:$A$15&amp;'Gas Useage'!$B$4:$B$15,_xlfn.XLOOKUP(G$14,'Gas Useage'!$AA$3:$AB$3,'Gas Useage'!$AA$4:$AB$15))</f>
        <v>5.1484425177416984E-2</v>
      </c>
      <c r="H39" s="260" t="s">
        <v>278</v>
      </c>
      <c r="I39" s="260" t="s">
        <v>278</v>
      </c>
      <c r="J39" s="260" t="s">
        <v>278</v>
      </c>
      <c r="K39" s="261" t="s">
        <v>278</v>
      </c>
      <c r="N39" s="258"/>
    </row>
    <row r="40" spans="2:14" ht="13.5" x14ac:dyDescent="0.25">
      <c r="B40" s="32">
        <v>2022</v>
      </c>
      <c r="C40" s="494" t="s">
        <v>277</v>
      </c>
      <c r="D40" s="259" cm="1">
        <f t="array" aca="1" ref="D40" ca="1">_xlfn.XLOOKUP(D$13,INDIRECT("'"&amp;$B40&amp;" EI'!$B$6:$B$53"),_xlfn.XLOOKUP($C$10,INDIRECT("'"&amp;$B40&amp;" EI'!$D$4:$Z$4"),INDIRECT("'"&amp;$B40&amp;" EI'!$D$6:$Z$53")))*_xlfn.XLOOKUP($B40&amp;D$15,'Gas Useage'!$A$4:$A$15&amp;'Gas Useage'!$B$4:$B$15,_xlfn.XLOOKUP($C40&amp;D$14,'Gas Useage'!$C$2:$AB$2&amp;'Gas Useage'!$C$3:$AB$3,'Gas Useage'!$C$4:$AB$15))/_xlfn.XLOOKUP($B40&amp;D$15,'Gas Useage'!$A$4:$A$15&amp;'Gas Useage'!$B$4:$B$15,_xlfn.XLOOKUP(D$14,'Gas Useage'!$AA$3:$AB$3,'Gas Useage'!$AA$4:$AB$15))</f>
        <v>0.16231100836696544</v>
      </c>
      <c r="E40" s="259" cm="1">
        <f t="array" aca="1" ref="E40" ca="1">_xlfn.XLOOKUP(E$13,INDIRECT("'"&amp;$B40&amp;" EI'!$B$6:$B$53"),_xlfn.XLOOKUP($C$10,INDIRECT("'"&amp;$B40&amp;" EI'!$D$4:$Z$4"),INDIRECT("'"&amp;$B40&amp;" EI'!$D$6:$Z$53")))*_xlfn.XLOOKUP($B40&amp;E$15,'Gas Useage'!$A$4:$A$15&amp;'Gas Useage'!$B$4:$B$15,_xlfn.XLOOKUP($C40&amp;E$14,'Gas Useage'!$C$2:$AB$2&amp;'Gas Useage'!$C$3:$AB$3,'Gas Useage'!$C$4:$AB$15))/_xlfn.XLOOKUP($B40&amp;E$15,'Gas Useage'!$A$4:$A$15&amp;'Gas Useage'!$B$4:$B$15,_xlfn.XLOOKUP(E$14,'Gas Useage'!$AA$3:$AB$3,'Gas Useage'!$AA$4:$AB$15))</f>
        <v>7.5081980329642792E-2</v>
      </c>
      <c r="F40" s="259" cm="1">
        <f t="array" aca="1" ref="F40" ca="1">_xlfn.XLOOKUP(F$13,INDIRECT("'"&amp;$B40&amp;" EI'!$B$6:$B$53"),_xlfn.XLOOKUP($C$10,INDIRECT("'"&amp;$B40&amp;" EI'!$D$4:$Z$4"),INDIRECT("'"&amp;$B40&amp;" EI'!$D$6:$Z$53")))*_xlfn.XLOOKUP($B40&amp;F$15,'Gas Useage'!$A$4:$A$15&amp;'Gas Useage'!$B$4:$B$15,_xlfn.XLOOKUP($C40&amp;F$14,'Gas Useage'!$C$2:$AB$2&amp;'Gas Useage'!$C$3:$AB$3,'Gas Useage'!$C$4:$AB$15))/_xlfn.XLOOKUP($B40&amp;F$15,'Gas Useage'!$A$4:$A$15&amp;'Gas Useage'!$B$4:$B$15,_xlfn.XLOOKUP(F$14,'Gas Useage'!$AA$3:$AB$3,'Gas Useage'!$AA$4:$AB$15))</f>
        <v>0.14432299696254589</v>
      </c>
      <c r="G40" s="259" cm="1">
        <f t="array" aca="1" ref="G40" ca="1">_xlfn.XLOOKUP(G$13,INDIRECT("'"&amp;$B40&amp;" EI'!$B$6:$B$53"),_xlfn.XLOOKUP($C$10,INDIRECT("'"&amp;$B40&amp;" EI'!$D$4:$Z$4"),INDIRECT("'"&amp;$B40&amp;" EI'!$D$6:$Z$53")))*_xlfn.XLOOKUP($B40&amp;G$15,'Gas Useage'!$A$4:$A$15&amp;'Gas Useage'!$B$4:$B$15,_xlfn.XLOOKUP($C40&amp;G$14,'Gas Useage'!$C$2:$AB$2&amp;'Gas Useage'!$C$3:$AB$3,'Gas Useage'!$C$4:$AB$15))/_xlfn.XLOOKUP($B40&amp;G$15,'Gas Useage'!$A$4:$A$15&amp;'Gas Useage'!$B$4:$B$15,_xlfn.XLOOKUP(G$14,'Gas Useage'!$AA$3:$AB$3,'Gas Useage'!$AA$4:$AB$15))</f>
        <v>6.6761068938454016E-2</v>
      </c>
      <c r="H40" s="260" t="s">
        <v>278</v>
      </c>
      <c r="I40" s="260" t="s">
        <v>278</v>
      </c>
      <c r="J40" s="260" t="s">
        <v>278</v>
      </c>
      <c r="K40" s="261" t="s">
        <v>278</v>
      </c>
      <c r="N40" s="258"/>
    </row>
    <row r="41" spans="2:14" ht="13.5" x14ac:dyDescent="0.25">
      <c r="B41" s="32">
        <v>2022</v>
      </c>
      <c r="C41" s="494" t="s">
        <v>279</v>
      </c>
      <c r="D41" s="259" cm="1">
        <f t="array" aca="1" ref="D41" ca="1">_xlfn.XLOOKUP(D$13,INDIRECT("'"&amp;$B41&amp;" EI'!$B$6:$B$53"),_xlfn.XLOOKUP($C$10,INDIRECT("'"&amp;$B41&amp;" EI'!$D$4:$Z$4"),INDIRECT("'"&amp;$B41&amp;" EI'!$D$6:$Z$53")))*_xlfn.XLOOKUP($B41&amp;D$15,'Gas Useage'!$A$4:$A$15&amp;'Gas Useage'!$B$4:$B$15,_xlfn.XLOOKUP($C41&amp;D$14,'Gas Useage'!$C$2:$AB$2&amp;'Gas Useage'!$C$3:$AB$3,'Gas Useage'!$C$4:$AB$15))/_xlfn.XLOOKUP($B41&amp;D$15,'Gas Useage'!$A$4:$A$15&amp;'Gas Useage'!$B$4:$B$15,_xlfn.XLOOKUP(D$14,'Gas Useage'!$AA$3:$AB$3,'Gas Useage'!$AA$4:$AB$15))</f>
        <v>0.15472219862377007</v>
      </c>
      <c r="E41" s="259" cm="1">
        <f t="array" aca="1" ref="E41" ca="1">_xlfn.XLOOKUP(E$13,INDIRECT("'"&amp;$B41&amp;" EI'!$B$6:$B$53"),_xlfn.XLOOKUP($C$10,INDIRECT("'"&amp;$B41&amp;" EI'!$D$4:$Z$4"),INDIRECT("'"&amp;$B41&amp;" EI'!$D$6:$Z$53")))*_xlfn.XLOOKUP($B41&amp;E$15,'Gas Useage'!$A$4:$A$15&amp;'Gas Useage'!$B$4:$B$15,_xlfn.XLOOKUP($C41&amp;E$14,'Gas Useage'!$C$2:$AB$2&amp;'Gas Useage'!$C$3:$AB$3,'Gas Useage'!$C$4:$AB$15))/_xlfn.XLOOKUP($B41&amp;E$15,'Gas Useage'!$A$4:$A$15&amp;'Gas Useage'!$B$4:$B$15,_xlfn.XLOOKUP(E$14,'Gas Useage'!$AA$3:$AB$3,'Gas Useage'!$AA$4:$AB$15))</f>
        <v>6.4035939108648673E-2</v>
      </c>
      <c r="F41" s="259" cm="1">
        <f t="array" aca="1" ref="F41" ca="1">_xlfn.XLOOKUP(F$13,INDIRECT("'"&amp;$B41&amp;" EI'!$B$6:$B$53"),_xlfn.XLOOKUP($C$10,INDIRECT("'"&amp;$B41&amp;" EI'!$D$4:$Z$4"),INDIRECT("'"&amp;$B41&amp;" EI'!$D$6:$Z$53")))*_xlfn.XLOOKUP($B41&amp;F$15,'Gas Useage'!$A$4:$A$15&amp;'Gas Useage'!$B$4:$B$15,_xlfn.XLOOKUP($C41&amp;F$14,'Gas Useage'!$C$2:$AB$2&amp;'Gas Useage'!$C$3:$AB$3,'Gas Useage'!$C$4:$AB$15))/_xlfn.XLOOKUP($B41&amp;F$15,'Gas Useage'!$A$4:$A$15&amp;'Gas Useage'!$B$4:$B$15,_xlfn.XLOOKUP(F$14,'Gas Useage'!$AA$3:$AB$3,'Gas Useage'!$AA$4:$AB$15))</f>
        <v>0.10375891713985738</v>
      </c>
      <c r="G41" s="259" cm="1">
        <f t="array" aca="1" ref="G41" ca="1">_xlfn.XLOOKUP(G$13,INDIRECT("'"&amp;$B41&amp;" EI'!$B$6:$B$53"),_xlfn.XLOOKUP($C$10,INDIRECT("'"&amp;$B41&amp;" EI'!$D$4:$Z$4"),INDIRECT("'"&amp;$B41&amp;" EI'!$D$6:$Z$53")))*_xlfn.XLOOKUP($B41&amp;G$15,'Gas Useage'!$A$4:$A$15&amp;'Gas Useage'!$B$4:$B$15,_xlfn.XLOOKUP($C41&amp;G$14,'Gas Useage'!$C$2:$AB$2&amp;'Gas Useage'!$C$3:$AB$3,'Gas Useage'!$C$4:$AB$15))/_xlfn.XLOOKUP($B41&amp;G$15,'Gas Useage'!$A$4:$A$15&amp;'Gas Useage'!$B$4:$B$15,_xlfn.XLOOKUP(G$14,'Gas Useage'!$AA$3:$AB$3,'Gas Useage'!$AA$4:$AB$15))</f>
        <v>4.2943415741549973E-2</v>
      </c>
      <c r="H41" s="260" t="s">
        <v>278</v>
      </c>
      <c r="I41" s="260" t="s">
        <v>278</v>
      </c>
      <c r="J41" s="260" t="s">
        <v>278</v>
      </c>
      <c r="K41" s="261" t="s">
        <v>278</v>
      </c>
      <c r="N41" s="258"/>
    </row>
    <row r="42" spans="2:14" ht="13.5" x14ac:dyDescent="0.25">
      <c r="B42" s="32">
        <v>2022</v>
      </c>
      <c r="C42" s="494" t="s">
        <v>280</v>
      </c>
      <c r="D42" s="259" cm="1">
        <f t="array" aca="1" ref="D42" ca="1">_xlfn.XLOOKUP(D$13,INDIRECT("'"&amp;$B42&amp;" EI'!$B$6:$B$53"),_xlfn.XLOOKUP($C$10,INDIRECT("'"&amp;$B42&amp;" EI'!$D$4:$Z$4"),INDIRECT("'"&amp;$B42&amp;" EI'!$D$6:$Z$53")))*_xlfn.XLOOKUP($B42&amp;D$15,'Gas Useage'!$A$4:$A$15&amp;'Gas Useage'!$B$4:$B$15,_xlfn.XLOOKUP($C42&amp;D$14,'Gas Useage'!$C$2:$AB$2&amp;'Gas Useage'!$C$3:$AB$3,'Gas Useage'!$C$4:$AB$15))/_xlfn.XLOOKUP($B42&amp;D$15,'Gas Useage'!$A$4:$A$15&amp;'Gas Useage'!$B$4:$B$15,_xlfn.XLOOKUP(D$14,'Gas Useage'!$AA$3:$AB$3,'Gas Useage'!$AA$4:$AB$15))</f>
        <v>0.1792891274871492</v>
      </c>
      <c r="E42" s="259" cm="1">
        <f t="array" aca="1" ref="E42" ca="1">_xlfn.XLOOKUP(E$13,INDIRECT("'"&amp;$B42&amp;" EI'!$B$6:$B$53"),_xlfn.XLOOKUP($C$10,INDIRECT("'"&amp;$B42&amp;" EI'!$D$4:$Z$4"),INDIRECT("'"&amp;$B42&amp;" EI'!$D$6:$Z$53")))*_xlfn.XLOOKUP($B42&amp;E$15,'Gas Useage'!$A$4:$A$15&amp;'Gas Useage'!$B$4:$B$15,_xlfn.XLOOKUP($C42&amp;E$14,'Gas Useage'!$C$2:$AB$2&amp;'Gas Useage'!$C$3:$AB$3,'Gas Useage'!$C$4:$AB$15))/_xlfn.XLOOKUP($B42&amp;E$15,'Gas Useage'!$A$4:$A$15&amp;'Gas Useage'!$B$4:$B$15,_xlfn.XLOOKUP(E$14,'Gas Useage'!$AA$3:$AB$3,'Gas Useage'!$AA$4:$AB$15))</f>
        <v>6.6423487375678242E-2</v>
      </c>
      <c r="F42" s="259" cm="1">
        <f t="array" aca="1" ref="F42" ca="1">_xlfn.XLOOKUP(F$13,INDIRECT("'"&amp;$B42&amp;" EI'!$B$6:$B$53"),_xlfn.XLOOKUP($C$10,INDIRECT("'"&amp;$B42&amp;" EI'!$D$4:$Z$4"),INDIRECT("'"&amp;$B42&amp;" EI'!$D$6:$Z$53")))*_xlfn.XLOOKUP($B42&amp;F$15,'Gas Useage'!$A$4:$A$15&amp;'Gas Useage'!$B$4:$B$15,_xlfn.XLOOKUP($C42&amp;F$14,'Gas Useage'!$C$2:$AB$2&amp;'Gas Useage'!$C$3:$AB$3,'Gas Useage'!$C$4:$AB$15))/_xlfn.XLOOKUP($B42&amp;F$15,'Gas Useage'!$A$4:$A$15&amp;'Gas Useage'!$B$4:$B$15,_xlfn.XLOOKUP(F$14,'Gas Useage'!$AA$3:$AB$3,'Gas Useage'!$AA$4:$AB$15))</f>
        <v>8.4941488726211059E-2</v>
      </c>
      <c r="G42" s="259" cm="1">
        <f t="array" aca="1" ref="G42" ca="1">_xlfn.XLOOKUP(G$13,INDIRECT("'"&amp;$B42&amp;" EI'!$B$6:$B$53"),_xlfn.XLOOKUP($C$10,INDIRECT("'"&amp;$B42&amp;" EI'!$D$4:$Z$4"),INDIRECT("'"&amp;$B42&amp;" EI'!$D$6:$Z$53")))*_xlfn.XLOOKUP($B42&amp;G$15,'Gas Useage'!$A$4:$A$15&amp;'Gas Useage'!$B$4:$B$15,_xlfn.XLOOKUP($C42&amp;G$14,'Gas Useage'!$C$2:$AB$2&amp;'Gas Useage'!$C$3:$AB$3,'Gas Useage'!$C$4:$AB$15))/_xlfn.XLOOKUP($B42&amp;G$15,'Gas Useage'!$A$4:$A$15&amp;'Gas Useage'!$B$4:$B$15,_xlfn.XLOOKUP(G$14,'Gas Useage'!$AA$3:$AB$3,'Gas Useage'!$AA$4:$AB$15))</f>
        <v>3.1469336613739726E-2</v>
      </c>
      <c r="H42" s="260" t="s">
        <v>278</v>
      </c>
      <c r="I42" s="260" t="s">
        <v>278</v>
      </c>
      <c r="J42" s="260" t="s">
        <v>278</v>
      </c>
      <c r="K42" s="261" t="s">
        <v>278</v>
      </c>
      <c r="N42" s="258"/>
    </row>
    <row r="43" spans="2:14" ht="13.5" x14ac:dyDescent="0.25">
      <c r="B43" s="32">
        <v>2022</v>
      </c>
      <c r="C43" s="494" t="s">
        <v>281</v>
      </c>
      <c r="D43" s="259" cm="1">
        <f t="array" aca="1" ref="D43" ca="1">_xlfn.XLOOKUP(D$13,INDIRECT("'"&amp;$B43&amp;" EI'!$B$6:$B$53"),_xlfn.XLOOKUP($C$10,INDIRECT("'"&amp;$B43&amp;" EI'!$D$4:$Z$4"),INDIRECT("'"&amp;$B43&amp;" EI'!$D$6:$Z$53")))*_xlfn.XLOOKUP($B43&amp;D$15,'Gas Useage'!$A$4:$A$15&amp;'Gas Useage'!$B$4:$B$15,_xlfn.XLOOKUP($C43&amp;D$14,'Gas Useage'!$C$2:$AB$2&amp;'Gas Useage'!$C$3:$AB$3,'Gas Useage'!$C$4:$AB$15))/_xlfn.XLOOKUP($B43&amp;D$15,'Gas Useage'!$A$4:$A$15&amp;'Gas Useage'!$B$4:$B$15,_xlfn.XLOOKUP(D$14,'Gas Useage'!$AA$3:$AB$3,'Gas Useage'!$AA$4:$AB$15))</f>
        <v>0.18380168909319014</v>
      </c>
      <c r="E43" s="259" cm="1">
        <f t="array" aca="1" ref="E43" ca="1">_xlfn.XLOOKUP(E$13,INDIRECT("'"&amp;$B43&amp;" EI'!$B$6:$B$53"),_xlfn.XLOOKUP($C$10,INDIRECT("'"&amp;$B43&amp;" EI'!$D$4:$Z$4"),INDIRECT("'"&amp;$B43&amp;" EI'!$D$6:$Z$53")))*_xlfn.XLOOKUP($B43&amp;E$15,'Gas Useage'!$A$4:$A$15&amp;'Gas Useage'!$B$4:$B$15,_xlfn.XLOOKUP($C43&amp;E$14,'Gas Useage'!$C$2:$AB$2&amp;'Gas Useage'!$C$3:$AB$3,'Gas Useage'!$C$4:$AB$15))/_xlfn.XLOOKUP($B43&amp;E$15,'Gas Useage'!$A$4:$A$15&amp;'Gas Useage'!$B$4:$B$15,_xlfn.XLOOKUP(E$14,'Gas Useage'!$AA$3:$AB$3,'Gas Useage'!$AA$4:$AB$15))</f>
        <v>7.5171953824241022E-2</v>
      </c>
      <c r="F43" s="259" cm="1">
        <f t="array" aca="1" ref="F43" ca="1">_xlfn.XLOOKUP(F$13,INDIRECT("'"&amp;$B43&amp;" EI'!$B$6:$B$53"),_xlfn.XLOOKUP($C$10,INDIRECT("'"&amp;$B43&amp;" EI'!$D$4:$Z$4"),INDIRECT("'"&amp;$B43&amp;" EI'!$D$6:$Z$53")))*_xlfn.XLOOKUP($B43&amp;F$15,'Gas Useage'!$A$4:$A$15&amp;'Gas Useage'!$B$4:$B$15,_xlfn.XLOOKUP($C43&amp;F$14,'Gas Useage'!$C$2:$AB$2&amp;'Gas Useage'!$C$3:$AB$3,'Gas Useage'!$C$4:$AB$15))/_xlfn.XLOOKUP($B43&amp;F$15,'Gas Useage'!$A$4:$A$15&amp;'Gas Useage'!$B$4:$B$15,_xlfn.XLOOKUP(F$14,'Gas Useage'!$AA$3:$AB$3,'Gas Useage'!$AA$4:$AB$15))</f>
        <v>0.1482405963061609</v>
      </c>
      <c r="G43" s="259" cm="1">
        <f t="array" aca="1" ref="G43" ca="1">_xlfn.XLOOKUP(G$13,INDIRECT("'"&amp;$B43&amp;" EI'!$B$6:$B$53"),_xlfn.XLOOKUP($C$10,INDIRECT("'"&amp;$B43&amp;" EI'!$D$4:$Z$4"),INDIRECT("'"&amp;$B43&amp;" EI'!$D$6:$Z$53")))*_xlfn.XLOOKUP($B43&amp;G$15,'Gas Useage'!$A$4:$A$15&amp;'Gas Useage'!$B$4:$B$15,_xlfn.XLOOKUP($C43&amp;G$14,'Gas Useage'!$C$2:$AB$2&amp;'Gas Useage'!$C$3:$AB$3,'Gas Useage'!$C$4:$AB$15))/_xlfn.XLOOKUP($B43&amp;G$15,'Gas Useage'!$A$4:$A$15&amp;'Gas Useage'!$B$4:$B$15,_xlfn.XLOOKUP(G$14,'Gas Useage'!$AA$3:$AB$3,'Gas Useage'!$AA$4:$AB$15))</f>
        <v>6.0628035114273331E-2</v>
      </c>
      <c r="H43" s="260" t="s">
        <v>278</v>
      </c>
      <c r="I43" s="260" t="s">
        <v>278</v>
      </c>
      <c r="J43" s="260" t="s">
        <v>278</v>
      </c>
      <c r="K43" s="261" t="s">
        <v>278</v>
      </c>
      <c r="N43" s="258"/>
    </row>
    <row r="44" spans="2:14" ht="13.5" x14ac:dyDescent="0.25">
      <c r="B44" s="32">
        <v>2022</v>
      </c>
      <c r="C44" s="494" t="s">
        <v>282</v>
      </c>
      <c r="D44" s="259" cm="1">
        <f t="array" aca="1" ref="D44" ca="1">_xlfn.XLOOKUP(D$13,INDIRECT("'"&amp;$B44&amp;" EI'!$B$6:$B$53"),_xlfn.XLOOKUP($C$10,INDIRECT("'"&amp;$B44&amp;" EI'!$D$4:$Z$4"),INDIRECT("'"&amp;$B44&amp;" EI'!$D$6:$Z$53")))*_xlfn.XLOOKUP($B44&amp;D$15,'Gas Useage'!$A$4:$A$15&amp;'Gas Useage'!$B$4:$B$15,_xlfn.XLOOKUP($C44&amp;D$14,'Gas Useage'!$C$2:$AB$2&amp;'Gas Useage'!$C$3:$AB$3,'Gas Useage'!$C$4:$AB$15))/_xlfn.XLOOKUP($B44&amp;D$15,'Gas Useage'!$A$4:$A$15&amp;'Gas Useage'!$B$4:$B$15,_xlfn.XLOOKUP(D$14,'Gas Useage'!$AA$3:$AB$3,'Gas Useage'!$AA$4:$AB$15))</f>
        <v>0.12639067127959355</v>
      </c>
      <c r="E44" s="259" cm="1">
        <f t="array" aca="1" ref="E44" ca="1">_xlfn.XLOOKUP(E$13,INDIRECT("'"&amp;$B44&amp;" EI'!$B$6:$B$53"),_xlfn.XLOOKUP($C$10,INDIRECT("'"&amp;$B44&amp;" EI'!$D$4:$Z$4"),INDIRECT("'"&amp;$B44&amp;" EI'!$D$6:$Z$53")))*_xlfn.XLOOKUP($B44&amp;E$15,'Gas Useage'!$A$4:$A$15&amp;'Gas Useage'!$B$4:$B$15,_xlfn.XLOOKUP($C44&amp;E$14,'Gas Useage'!$C$2:$AB$2&amp;'Gas Useage'!$C$3:$AB$3,'Gas Useage'!$C$4:$AB$15))/_xlfn.XLOOKUP($B44&amp;E$15,'Gas Useage'!$A$4:$A$15&amp;'Gas Useage'!$B$4:$B$15,_xlfn.XLOOKUP(E$14,'Gas Useage'!$AA$3:$AB$3,'Gas Useage'!$AA$4:$AB$15))</f>
        <v>5.3866763125060856E-2</v>
      </c>
      <c r="F44" s="259" cm="1">
        <f t="array" aca="1" ref="F44" ca="1">_xlfn.XLOOKUP(F$13,INDIRECT("'"&amp;$B44&amp;" EI'!$B$6:$B$53"),_xlfn.XLOOKUP($C$10,INDIRECT("'"&amp;$B44&amp;" EI'!$D$4:$Z$4"),INDIRECT("'"&amp;$B44&amp;" EI'!$D$6:$Z$53")))*_xlfn.XLOOKUP($B44&amp;F$15,'Gas Useage'!$A$4:$A$15&amp;'Gas Useage'!$B$4:$B$15,_xlfn.XLOOKUP($C44&amp;F$14,'Gas Useage'!$C$2:$AB$2&amp;'Gas Useage'!$C$3:$AB$3,'Gas Useage'!$C$4:$AB$15))/_xlfn.XLOOKUP($B44&amp;F$15,'Gas Useage'!$A$4:$A$15&amp;'Gas Useage'!$B$4:$B$15,_xlfn.XLOOKUP(F$14,'Gas Useage'!$AA$3:$AB$3,'Gas Useage'!$AA$4:$AB$15))</f>
        <v>7.3263408196519469E-2</v>
      </c>
      <c r="G44" s="259" cm="1">
        <f t="array" aca="1" ref="G44" ca="1">_xlfn.XLOOKUP(G$13,INDIRECT("'"&amp;$B44&amp;" EI'!$B$6:$B$53"),_xlfn.XLOOKUP($C$10,INDIRECT("'"&amp;$B44&amp;" EI'!$D$4:$Z$4"),INDIRECT("'"&amp;$B44&amp;" EI'!$D$6:$Z$53")))*_xlfn.XLOOKUP($B44&amp;G$15,'Gas Useage'!$A$4:$A$15&amp;'Gas Useage'!$B$4:$B$15,_xlfn.XLOOKUP($C44&amp;G$14,'Gas Useage'!$C$2:$AB$2&amp;'Gas Useage'!$C$3:$AB$3,'Gas Useage'!$C$4:$AB$15))/_xlfn.XLOOKUP($B44&amp;G$15,'Gas Useage'!$A$4:$A$15&amp;'Gas Useage'!$B$4:$B$15,_xlfn.XLOOKUP(G$14,'Gas Useage'!$AA$3:$AB$3,'Gas Useage'!$AA$4:$AB$15))</f>
        <v>3.1224319129743664E-2</v>
      </c>
      <c r="H44" s="260" t="s">
        <v>278</v>
      </c>
      <c r="I44" s="260" t="s">
        <v>278</v>
      </c>
      <c r="J44" s="260" t="s">
        <v>278</v>
      </c>
      <c r="K44" s="261" t="s">
        <v>278</v>
      </c>
      <c r="N44" s="258"/>
    </row>
    <row r="45" spans="2:14" ht="13.5" x14ac:dyDescent="0.25">
      <c r="B45" s="32">
        <v>2022</v>
      </c>
      <c r="C45" s="494" t="s">
        <v>283</v>
      </c>
      <c r="D45" s="259" cm="1">
        <f t="array" aca="1" ref="D45" ca="1">_xlfn.XLOOKUP(D$13,INDIRECT("'"&amp;$B45&amp;" EI'!$B$6:$B$53"),_xlfn.XLOOKUP($C$10,INDIRECT("'"&amp;$B45&amp;" EI'!$D$4:$Z$4"),INDIRECT("'"&amp;$B45&amp;" EI'!$D$6:$Z$53")))*_xlfn.XLOOKUP($B45&amp;D$15,'Gas Useage'!$A$4:$A$15&amp;'Gas Useage'!$B$4:$B$15,_xlfn.XLOOKUP($C45&amp;D$14,'Gas Useage'!$C$2:$AB$2&amp;'Gas Useage'!$C$3:$AB$3,'Gas Useage'!$C$4:$AB$15))/_xlfn.XLOOKUP($B45&amp;D$15,'Gas Useage'!$A$4:$A$15&amp;'Gas Useage'!$B$4:$B$15,_xlfn.XLOOKUP(D$14,'Gas Useage'!$AA$3:$AB$3,'Gas Useage'!$AA$4:$AB$15))</f>
        <v>3.2254928935586083E-2</v>
      </c>
      <c r="E45" s="259" cm="1">
        <f t="array" aca="1" ref="E45" ca="1">_xlfn.XLOOKUP(E$13,INDIRECT("'"&amp;$B45&amp;" EI'!$B$6:$B$53"),_xlfn.XLOOKUP($C$10,INDIRECT("'"&amp;$B45&amp;" EI'!$D$4:$Z$4"),INDIRECT("'"&amp;$B45&amp;" EI'!$D$6:$Z$53")))*_xlfn.XLOOKUP($B45&amp;E$15,'Gas Useage'!$A$4:$A$15&amp;'Gas Useage'!$B$4:$B$15,_xlfn.XLOOKUP($C45&amp;E$14,'Gas Useage'!$C$2:$AB$2&amp;'Gas Useage'!$C$3:$AB$3,'Gas Useage'!$C$4:$AB$15))/_xlfn.XLOOKUP($B45&amp;E$15,'Gas Useage'!$A$4:$A$15&amp;'Gas Useage'!$B$4:$B$15,_xlfn.XLOOKUP(E$14,'Gas Useage'!$AA$3:$AB$3,'Gas Useage'!$AA$4:$AB$15))</f>
        <v>1.4368898059771568E-2</v>
      </c>
      <c r="F45" s="259" cm="1">
        <f t="array" aca="1" ref="F45" ca="1">_xlfn.XLOOKUP(F$13,INDIRECT("'"&amp;$B45&amp;" EI'!$B$6:$B$53"),_xlfn.XLOOKUP($C$10,INDIRECT("'"&amp;$B45&amp;" EI'!$D$4:$Z$4"),INDIRECT("'"&amp;$B45&amp;" EI'!$D$6:$Z$53")))*_xlfn.XLOOKUP($B45&amp;F$15,'Gas Useage'!$A$4:$A$15&amp;'Gas Useage'!$B$4:$B$15,_xlfn.XLOOKUP($C45&amp;F$14,'Gas Useage'!$C$2:$AB$2&amp;'Gas Useage'!$C$3:$AB$3,'Gas Useage'!$C$4:$AB$15))/_xlfn.XLOOKUP($B45&amp;F$15,'Gas Useage'!$A$4:$A$15&amp;'Gas Useage'!$B$4:$B$15,_xlfn.XLOOKUP(F$14,'Gas Useage'!$AA$3:$AB$3,'Gas Useage'!$AA$4:$AB$15))</f>
        <v>2.2308189721265002E-2</v>
      </c>
      <c r="G45" s="259" cm="1">
        <f t="array" aca="1" ref="G45" ca="1">_xlfn.XLOOKUP(G$13,INDIRECT("'"&amp;$B45&amp;" EI'!$B$6:$B$53"),_xlfn.XLOOKUP($C$10,INDIRECT("'"&amp;$B45&amp;" EI'!$D$4:$Z$4"),INDIRECT("'"&amp;$B45&amp;" EI'!$D$6:$Z$53")))*_xlfn.XLOOKUP($B45&amp;G$15,'Gas Useage'!$A$4:$A$15&amp;'Gas Useage'!$B$4:$B$15,_xlfn.XLOOKUP($C45&amp;G$14,'Gas Useage'!$C$2:$AB$2&amp;'Gas Useage'!$C$3:$AB$3,'Gas Useage'!$C$4:$AB$15))/_xlfn.XLOOKUP($B45&amp;G$15,'Gas Useage'!$A$4:$A$15&amp;'Gas Useage'!$B$4:$B$15,_xlfn.XLOOKUP(G$14,'Gas Useage'!$AA$3:$AB$3,'Gas Useage'!$AA$4:$AB$15))</f>
        <v>9.9378332112600633E-3</v>
      </c>
      <c r="H45" s="260" t="s">
        <v>278</v>
      </c>
      <c r="I45" s="260" t="s">
        <v>278</v>
      </c>
      <c r="J45" s="260" t="s">
        <v>278</v>
      </c>
      <c r="K45" s="261" t="s">
        <v>278</v>
      </c>
      <c r="N45" s="258"/>
    </row>
    <row r="46" spans="2:14" ht="13.5" x14ac:dyDescent="0.25">
      <c r="B46" s="32">
        <v>2022</v>
      </c>
      <c r="C46" s="494" t="s">
        <v>284</v>
      </c>
      <c r="D46" s="259" cm="1">
        <f t="array" aca="1" ref="D46" ca="1">_xlfn.XLOOKUP(D$13,INDIRECT("'"&amp;$B46&amp;" EI'!$B$6:$B$53"),_xlfn.XLOOKUP($C$10,INDIRECT("'"&amp;$B46&amp;" EI'!$D$4:$Z$4"),INDIRECT("'"&amp;$B46&amp;" EI'!$D$6:$Z$53")))*_xlfn.XLOOKUP($B46&amp;D$15,'Gas Useage'!$A$4:$A$15&amp;'Gas Useage'!$B$4:$B$15,_xlfn.XLOOKUP($C46&amp;D$14,'Gas Useage'!$C$2:$AB$2&amp;'Gas Useage'!$C$3:$AB$3,'Gas Useage'!$C$4:$AB$15))/_xlfn.XLOOKUP($B46&amp;D$15,'Gas Useage'!$A$4:$A$15&amp;'Gas Useage'!$B$4:$B$15,_xlfn.XLOOKUP(D$14,'Gas Useage'!$AA$3:$AB$3,'Gas Useage'!$AA$4:$AB$15))</f>
        <v>9.3458947921413418E-2</v>
      </c>
      <c r="E46" s="259" cm="1">
        <f t="array" aca="1" ref="E46" ca="1">_xlfn.XLOOKUP(E$13,INDIRECT("'"&amp;$B46&amp;" EI'!$B$6:$B$53"),_xlfn.XLOOKUP($C$10,INDIRECT("'"&amp;$B46&amp;" EI'!$D$4:$Z$4"),INDIRECT("'"&amp;$B46&amp;" EI'!$D$6:$Z$53")))*_xlfn.XLOOKUP($B46&amp;E$15,'Gas Useage'!$A$4:$A$15&amp;'Gas Useage'!$B$4:$B$15,_xlfn.XLOOKUP($C46&amp;E$14,'Gas Useage'!$C$2:$AB$2&amp;'Gas Useage'!$C$3:$AB$3,'Gas Useage'!$C$4:$AB$15))/_xlfn.XLOOKUP($B46&amp;E$15,'Gas Useage'!$A$4:$A$15&amp;'Gas Useage'!$B$4:$B$15,_xlfn.XLOOKUP(E$14,'Gas Useage'!$AA$3:$AB$3,'Gas Useage'!$AA$4:$AB$15))</f>
        <v>4.7988328294178886E-2</v>
      </c>
      <c r="F46" s="259" cm="1">
        <f t="array" aca="1" ref="F46" ca="1">_xlfn.XLOOKUP(F$13,INDIRECT("'"&amp;$B46&amp;" EI'!$B$6:$B$53"),_xlfn.XLOOKUP($C$10,INDIRECT("'"&amp;$B46&amp;" EI'!$D$4:$Z$4"),INDIRECT("'"&amp;$B46&amp;" EI'!$D$6:$Z$53")))*_xlfn.XLOOKUP($B46&amp;F$15,'Gas Useage'!$A$4:$A$15&amp;'Gas Useage'!$B$4:$B$15,_xlfn.XLOOKUP($C46&amp;F$14,'Gas Useage'!$C$2:$AB$2&amp;'Gas Useage'!$C$3:$AB$3,'Gas Useage'!$C$4:$AB$15))/_xlfn.XLOOKUP($B46&amp;F$15,'Gas Useage'!$A$4:$A$15&amp;'Gas Useage'!$B$4:$B$15,_xlfn.XLOOKUP(F$14,'Gas Useage'!$AA$3:$AB$3,'Gas Useage'!$AA$4:$AB$15))</f>
        <v>8.8343102863561396E-2</v>
      </c>
      <c r="G46" s="259" cm="1">
        <f t="array" aca="1" ref="G46" ca="1">_xlfn.XLOOKUP(G$13,INDIRECT("'"&amp;$B46&amp;" EI'!$B$6:$B$53"),_xlfn.XLOOKUP($C$10,INDIRECT("'"&amp;$B46&amp;" EI'!$D$4:$Z$4"),INDIRECT("'"&amp;$B46&amp;" EI'!$D$6:$Z$53")))*_xlfn.XLOOKUP($B46&amp;G$15,'Gas Useage'!$A$4:$A$15&amp;'Gas Useage'!$B$4:$B$15,_xlfn.XLOOKUP($C46&amp;G$14,'Gas Useage'!$C$2:$AB$2&amp;'Gas Useage'!$C$3:$AB$3,'Gas Useage'!$C$4:$AB$15))/_xlfn.XLOOKUP($B46&amp;G$15,'Gas Useage'!$A$4:$A$15&amp;'Gas Useage'!$B$4:$B$15,_xlfn.XLOOKUP(G$14,'Gas Useage'!$AA$3:$AB$3,'Gas Useage'!$AA$4:$AB$15))</f>
        <v>4.5361497395710056E-2</v>
      </c>
      <c r="H46" s="260" t="s">
        <v>278</v>
      </c>
      <c r="I46" s="260" t="s">
        <v>278</v>
      </c>
      <c r="J46" s="260" t="s">
        <v>278</v>
      </c>
      <c r="K46" s="261" t="s">
        <v>278</v>
      </c>
      <c r="N46" s="258"/>
    </row>
    <row r="47" spans="2:14" ht="13.5" x14ac:dyDescent="0.25">
      <c r="B47" s="32">
        <v>2022</v>
      </c>
      <c r="C47" s="494" t="s">
        <v>285</v>
      </c>
      <c r="D47" s="259" cm="1">
        <f t="array" aca="1" ref="D47" ca="1">_xlfn.XLOOKUP(D$13,INDIRECT("'"&amp;$B47&amp;" EI'!$B$6:$B$53"),_xlfn.XLOOKUP($C$10,INDIRECT("'"&amp;$B47&amp;" EI'!$D$4:$Z$4"),INDIRECT("'"&amp;$B47&amp;" EI'!$D$6:$Z$53")))*_xlfn.XLOOKUP($B47&amp;D$15,'Gas Useage'!$A$4:$A$15&amp;'Gas Useage'!$B$4:$B$15,_xlfn.XLOOKUP($C47&amp;D$14,'Gas Useage'!$C$2:$AB$2&amp;'Gas Useage'!$C$3:$AB$3,'Gas Useage'!$C$4:$AB$15))/_xlfn.XLOOKUP($B47&amp;D$15,'Gas Useage'!$A$4:$A$15&amp;'Gas Useage'!$B$4:$B$15,_xlfn.XLOOKUP(D$14,'Gas Useage'!$AA$3:$AB$3,'Gas Useage'!$AA$4:$AB$15))</f>
        <v>0.23662261749344357</v>
      </c>
      <c r="E47" s="259" cm="1">
        <f t="array" aca="1" ref="E47" ca="1">_xlfn.XLOOKUP(E$13,INDIRECT("'"&amp;$B47&amp;" EI'!$B$6:$B$53"),_xlfn.XLOOKUP($C$10,INDIRECT("'"&amp;$B47&amp;" EI'!$D$4:$Z$4"),INDIRECT("'"&amp;$B47&amp;" EI'!$D$6:$Z$53")))*_xlfn.XLOOKUP($B47&amp;E$15,'Gas Useage'!$A$4:$A$15&amp;'Gas Useage'!$B$4:$B$15,_xlfn.XLOOKUP($C47&amp;E$14,'Gas Useage'!$C$2:$AB$2&amp;'Gas Useage'!$C$3:$AB$3,'Gas Useage'!$C$4:$AB$15))/_xlfn.XLOOKUP($B47&amp;E$15,'Gas Useage'!$A$4:$A$15&amp;'Gas Useage'!$B$4:$B$15,_xlfn.XLOOKUP(E$14,'Gas Useage'!$AA$3:$AB$3,'Gas Useage'!$AA$4:$AB$15))</f>
        <v>8.6112154903685525E-2</v>
      </c>
      <c r="F47" s="259" cm="1">
        <f t="array" aca="1" ref="F47" ca="1">_xlfn.XLOOKUP(F$13,INDIRECT("'"&amp;$B47&amp;" EI'!$B$6:$B$53"),_xlfn.XLOOKUP($C$10,INDIRECT("'"&amp;$B47&amp;" EI'!$D$4:$Z$4"),INDIRECT("'"&amp;$B47&amp;" EI'!$D$6:$Z$53")))*_xlfn.XLOOKUP($B47&amp;F$15,'Gas Useage'!$A$4:$A$15&amp;'Gas Useage'!$B$4:$B$15,_xlfn.XLOOKUP($C47&amp;F$14,'Gas Useage'!$C$2:$AB$2&amp;'Gas Useage'!$C$3:$AB$3,'Gas Useage'!$C$4:$AB$15))/_xlfn.XLOOKUP($B47&amp;F$15,'Gas Useage'!$A$4:$A$15&amp;'Gas Useage'!$B$4:$B$15,_xlfn.XLOOKUP(F$14,'Gas Useage'!$AA$3:$AB$3,'Gas Useage'!$AA$4:$AB$15))</f>
        <v>0.17190873157301523</v>
      </c>
      <c r="G47" s="259" cm="1">
        <f t="array" aca="1" ref="G47" ca="1">_xlfn.XLOOKUP(G$13,INDIRECT("'"&amp;$B47&amp;" EI'!$B$6:$B$53"),_xlfn.XLOOKUP($C$10,INDIRECT("'"&amp;$B47&amp;" EI'!$D$4:$Z$4"),INDIRECT("'"&amp;$B47&amp;" EI'!$D$6:$Z$53")))*_xlfn.XLOOKUP($B47&amp;G$15,'Gas Useage'!$A$4:$A$15&amp;'Gas Useage'!$B$4:$B$15,_xlfn.XLOOKUP($C47&amp;G$14,'Gas Useage'!$C$2:$AB$2&amp;'Gas Useage'!$C$3:$AB$3,'Gas Useage'!$C$4:$AB$15))/_xlfn.XLOOKUP($B47&amp;G$15,'Gas Useage'!$A$4:$A$15&amp;'Gas Useage'!$B$4:$B$15,_xlfn.XLOOKUP(G$14,'Gas Useage'!$AA$3:$AB$3,'Gas Useage'!$AA$4:$AB$15))</f>
        <v>6.2561353937020669E-2</v>
      </c>
      <c r="H47" s="260" t="s">
        <v>278</v>
      </c>
      <c r="I47" s="260" t="s">
        <v>278</v>
      </c>
      <c r="J47" s="260" t="s">
        <v>278</v>
      </c>
      <c r="K47" s="261" t="s">
        <v>278</v>
      </c>
      <c r="N47" s="258"/>
    </row>
    <row r="48" spans="2:14" ht="14.25" thickBot="1" x14ac:dyDescent="0.3">
      <c r="B48" s="33">
        <v>2022</v>
      </c>
      <c r="C48" s="499" t="s">
        <v>286</v>
      </c>
      <c r="D48" s="262" cm="1">
        <f t="array" aca="1" ref="D48" ca="1">_xlfn.XLOOKUP(D$13,INDIRECT("'"&amp;$B48&amp;" EI'!$B$6:$B$53"),_xlfn.XLOOKUP($C$10,INDIRECT("'"&amp;$B48&amp;" EI'!$D$4:$Z$4"),INDIRECT("'"&amp;$B48&amp;" EI'!$D$6:$Z$53")))*_xlfn.XLOOKUP($B48&amp;D$15,'Gas Useage'!$A$4:$A$15&amp;'Gas Useage'!$B$4:$B$15,_xlfn.XLOOKUP($C48&amp;D$14,'Gas Useage'!$C$2:$AB$2&amp;'Gas Useage'!$C$3:$AB$3,'Gas Useage'!$C$4:$AB$15))/_xlfn.XLOOKUP($B48&amp;D$15,'Gas Useage'!$A$4:$A$15&amp;'Gas Useage'!$B$4:$B$15,_xlfn.XLOOKUP(D$14,'Gas Useage'!$AA$3:$AB$3,'Gas Useage'!$AA$4:$AB$15))</f>
        <v>8.070738722780367E-2</v>
      </c>
      <c r="E48" s="262" cm="1">
        <f t="array" aca="1" ref="E48" ca="1">_xlfn.XLOOKUP(E$13,INDIRECT("'"&amp;$B48&amp;" EI'!$B$6:$B$53"),_xlfn.XLOOKUP($C$10,INDIRECT("'"&amp;$B48&amp;" EI'!$D$4:$Z$4"),INDIRECT("'"&amp;$B48&amp;" EI'!$D$6:$Z$53")))*_xlfn.XLOOKUP($B48&amp;E$15,'Gas Useage'!$A$4:$A$15&amp;'Gas Useage'!$B$4:$B$15,_xlfn.XLOOKUP($C48&amp;E$14,'Gas Useage'!$C$2:$AB$2&amp;'Gas Useage'!$C$3:$AB$3,'Gas Useage'!$C$4:$AB$15))/_xlfn.XLOOKUP($B48&amp;E$15,'Gas Useage'!$A$4:$A$15&amp;'Gas Useage'!$B$4:$B$15,_xlfn.XLOOKUP(E$14,'Gas Useage'!$AA$3:$AB$3,'Gas Useage'!$AA$4:$AB$15))</f>
        <v>3.6646476794718906E-2</v>
      </c>
      <c r="F48" s="262" cm="1">
        <f t="array" aca="1" ref="F48" ca="1">_xlfn.XLOOKUP(F$13,INDIRECT("'"&amp;$B48&amp;" EI'!$B$6:$B$53"),_xlfn.XLOOKUP($C$10,INDIRECT("'"&amp;$B48&amp;" EI'!$D$4:$Z$4"),INDIRECT("'"&amp;$B48&amp;" EI'!$D$6:$Z$53")))*_xlfn.XLOOKUP($B48&amp;F$15,'Gas Useage'!$A$4:$A$15&amp;'Gas Useage'!$B$4:$B$15,_xlfn.XLOOKUP($C48&amp;F$14,'Gas Useage'!$C$2:$AB$2&amp;'Gas Useage'!$C$3:$AB$3,'Gas Useage'!$C$4:$AB$15))/_xlfn.XLOOKUP($B48&amp;F$15,'Gas Useage'!$A$4:$A$15&amp;'Gas Useage'!$B$4:$B$15,_xlfn.XLOOKUP(F$14,'Gas Useage'!$AA$3:$AB$3,'Gas Useage'!$AA$4:$AB$15))</f>
        <v>4.5740819320019763E-2</v>
      </c>
      <c r="G48" s="262" cm="1">
        <f t="array" aca="1" ref="G48" ca="1">_xlfn.XLOOKUP(G$13,INDIRECT("'"&amp;$B48&amp;" EI'!$B$6:$B$53"),_xlfn.XLOOKUP($C$10,INDIRECT("'"&amp;$B48&amp;" EI'!$D$4:$Z$4"),INDIRECT("'"&amp;$B48&amp;" EI'!$D$6:$Z$53")))*_xlfn.XLOOKUP($B48&amp;G$15,'Gas Useage'!$A$4:$A$15&amp;'Gas Useage'!$B$4:$B$15,_xlfn.XLOOKUP($C48&amp;G$14,'Gas Useage'!$C$2:$AB$2&amp;'Gas Useage'!$C$3:$AB$3,'Gas Useage'!$C$4:$AB$15))/_xlfn.XLOOKUP($B48&amp;G$15,'Gas Useage'!$A$4:$A$15&amp;'Gas Useage'!$B$4:$B$15,_xlfn.XLOOKUP(G$14,'Gas Useage'!$AA$3:$AB$3,'Gas Useage'!$AA$4:$AB$15))</f>
        <v>2.07693487716459E-2</v>
      </c>
      <c r="H48" s="263">
        <f t="shared" ref="H48:K51" ca="1" si="0">IFERROR(SUM(D25:D48)/2,"--")</f>
        <v>1.6962254088098283</v>
      </c>
      <c r="I48" s="263">
        <f t="shared" ca="1" si="0"/>
        <v>0.57340553242960501</v>
      </c>
      <c r="J48" s="263">
        <f t="shared" ca="1" si="0"/>
        <v>1.7161088601747669</v>
      </c>
      <c r="K48" s="264">
        <f t="shared" ca="1" si="0"/>
        <v>0.56242537906683532</v>
      </c>
      <c r="N48" s="258"/>
    </row>
    <row r="49" spans="2:14" ht="13.5" hidden="1" x14ac:dyDescent="0.25">
      <c r="B49" s="495">
        <v>2022</v>
      </c>
      <c r="C49" s="284" t="s">
        <v>287</v>
      </c>
      <c r="D49" s="496" cm="1">
        <f t="array" aca="1" ref="D49" ca="1">_xlfn.XLOOKUP(D$13,INDIRECT("'"&amp;$B49&amp;" EI'!$B$6:$B$53"),_xlfn.XLOOKUP($C$10,INDIRECT("'"&amp;$B49&amp;" EI'!$D$4:$Z$4"),INDIRECT("'"&amp;$B49&amp;" EI'!$D$6:$Z$53")))*_xlfn.XLOOKUP($B49&amp;D$15,'Gas Useage'!$A$4:$A$15&amp;'Gas Useage'!$B$4:$B$15,_xlfn.XLOOKUP($C49&amp;D$14,'Gas Useage'!$C$2:$AB$2&amp;'Gas Useage'!$C$3:$AB$3,'Gas Useage'!$C$4:$AB$15))/_xlfn.XLOOKUP($B49&amp;D$15,'Gas Useage'!$A$4:$A$15&amp;'Gas Useage'!$B$4:$B$15,_xlfn.XLOOKUP(D$14,'Gas Useage'!$AA$3:$AB$3,'Gas Useage'!$AA$4:$AB$15))</f>
        <v>5.6908037399638081E-2</v>
      </c>
      <c r="E49" s="496" cm="1">
        <f t="array" aca="1" ref="E49" ca="1">_xlfn.XLOOKUP(E$13,INDIRECT("'"&amp;$B49&amp;" EI'!$B$6:$B$53"),_xlfn.XLOOKUP($C$10,INDIRECT("'"&amp;$B49&amp;" EI'!$D$4:$Z$4"),INDIRECT("'"&amp;$B49&amp;" EI'!$D$6:$Z$53")))*_xlfn.XLOOKUP($B49&amp;E$15,'Gas Useage'!$A$4:$A$15&amp;'Gas Useage'!$B$4:$B$15,_xlfn.XLOOKUP($C49&amp;E$14,'Gas Useage'!$C$2:$AB$2&amp;'Gas Useage'!$C$3:$AB$3,'Gas Useage'!$C$4:$AB$15))/_xlfn.XLOOKUP($B49&amp;E$15,'Gas Useage'!$A$4:$A$15&amp;'Gas Useage'!$B$4:$B$15,_xlfn.XLOOKUP(E$14,'Gas Useage'!$AA$3:$AB$3,'Gas Useage'!$AA$4:$AB$15))</f>
        <v>3.891758345667988E-2</v>
      </c>
      <c r="F49" s="496" cm="1">
        <f t="array" aca="1" ref="F49" ca="1">_xlfn.XLOOKUP(F$13,INDIRECT("'"&amp;$B49&amp;" EI'!$B$6:$B$53"),_xlfn.XLOOKUP($C$10,INDIRECT("'"&amp;$B49&amp;" EI'!$D$4:$Z$4"),INDIRECT("'"&amp;$B49&amp;" EI'!$D$6:$Z$53")))*_xlfn.XLOOKUP($B49&amp;F$15,'Gas Useage'!$A$4:$A$15&amp;'Gas Useage'!$B$4:$B$15,_xlfn.XLOOKUP($C49&amp;F$14,'Gas Useage'!$C$2:$AB$2&amp;'Gas Useage'!$C$3:$AB$3,'Gas Useage'!$C$4:$AB$15))/_xlfn.XLOOKUP($B49&amp;F$15,'Gas Useage'!$A$4:$A$15&amp;'Gas Useage'!$B$4:$B$15,_xlfn.XLOOKUP(F$14,'Gas Useage'!$AA$3:$AB$3,'Gas Useage'!$AA$4:$AB$15))</f>
        <v>4.2976467270630099E-2</v>
      </c>
      <c r="G49" s="496" cm="1">
        <f t="array" aca="1" ref="G49" ca="1">_xlfn.XLOOKUP(G$13,INDIRECT("'"&amp;$B49&amp;" EI'!$B$6:$B$53"),_xlfn.XLOOKUP($C$10,INDIRECT("'"&amp;$B49&amp;" EI'!$D$4:$Z$4"),INDIRECT("'"&amp;$B49&amp;" EI'!$D$6:$Z$53")))*_xlfn.XLOOKUP($B49&amp;G$15,'Gas Useage'!$A$4:$A$15&amp;'Gas Useage'!$B$4:$B$15,_xlfn.XLOOKUP($C49&amp;G$14,'Gas Useage'!$C$2:$AB$2&amp;'Gas Useage'!$C$3:$AB$3,'Gas Useage'!$C$4:$AB$15))/_xlfn.XLOOKUP($B49&amp;G$15,'Gas Useage'!$A$4:$A$15&amp;'Gas Useage'!$B$4:$B$15,_xlfn.XLOOKUP(G$14,'Gas Useage'!$AA$3:$AB$3,'Gas Useage'!$AA$4:$AB$15))</f>
        <v>2.9390229009877162E-2</v>
      </c>
      <c r="H49" s="497">
        <f t="shared" ca="1" si="0"/>
        <v>1.689322901206753</v>
      </c>
      <c r="I49" s="497">
        <f t="shared" ca="1" si="0"/>
        <v>0.58042361120191632</v>
      </c>
      <c r="J49" s="497">
        <f t="shared" ca="1" si="0"/>
        <v>1.6558295474140852</v>
      </c>
      <c r="K49" s="498">
        <f t="shared" ca="1" si="0"/>
        <v>0.54834938169509395</v>
      </c>
      <c r="N49" s="258"/>
    </row>
    <row r="50" spans="2:14" ht="13.5" hidden="1" x14ac:dyDescent="0.25">
      <c r="B50" s="283">
        <v>2022</v>
      </c>
      <c r="C50" s="284" t="s">
        <v>288</v>
      </c>
      <c r="D50" s="290" cm="1">
        <f t="array" aca="1" ref="D50" ca="1">_xlfn.XLOOKUP(D$13,INDIRECT("'"&amp;$B50&amp;" EI'!$B$6:$B$53"),_xlfn.XLOOKUP($C$10,INDIRECT("'"&amp;$B50&amp;" EI'!$D$4:$Z$4"),INDIRECT("'"&amp;$B50&amp;" EI'!$D$6:$Z$53")))*_xlfn.XLOOKUP($B50&amp;D$15,'Gas Useage'!$A$4:$A$15&amp;'Gas Useage'!$B$4:$B$15,_xlfn.XLOOKUP($C50&amp;D$14,'Gas Useage'!$C$2:$AB$2&amp;'Gas Useage'!$C$3:$AB$3,'Gas Useage'!$C$4:$AB$15))/_xlfn.XLOOKUP($B50&amp;D$15,'Gas Useage'!$A$4:$A$15&amp;'Gas Useage'!$B$4:$B$15,_xlfn.XLOOKUP(D$14,'Gas Useage'!$AA$3:$AB$3,'Gas Useage'!$AA$4:$AB$15))</f>
        <v>8.6629850300721815E-5</v>
      </c>
      <c r="E50" s="290" cm="1">
        <f t="array" aca="1" ref="E50" ca="1">_xlfn.XLOOKUP(E$13,INDIRECT("'"&amp;$B50&amp;" EI'!$B$6:$B$53"),_xlfn.XLOOKUP($C$10,INDIRECT("'"&amp;$B50&amp;" EI'!$D$4:$Z$4"),INDIRECT("'"&amp;$B50&amp;" EI'!$D$6:$Z$53")))*_xlfn.XLOOKUP($B50&amp;E$15,'Gas Useage'!$A$4:$A$15&amp;'Gas Useage'!$B$4:$B$15,_xlfn.XLOOKUP($C50&amp;E$14,'Gas Useage'!$C$2:$AB$2&amp;'Gas Useage'!$C$3:$AB$3,'Gas Useage'!$C$4:$AB$15))/_xlfn.XLOOKUP($B50&amp;E$15,'Gas Useage'!$A$4:$A$15&amp;'Gas Useage'!$B$4:$B$15,_xlfn.XLOOKUP(E$14,'Gas Useage'!$AA$3:$AB$3,'Gas Useage'!$AA$4:$AB$15))</f>
        <v>4.1250578772862054E-5</v>
      </c>
      <c r="F50" s="290" cm="1">
        <f t="array" aca="1" ref="F50" ca="1">_xlfn.XLOOKUP(F$13,INDIRECT("'"&amp;$B50&amp;" EI'!$B$6:$B$53"),_xlfn.XLOOKUP($C$10,INDIRECT("'"&amp;$B50&amp;" EI'!$D$4:$Z$4"),INDIRECT("'"&amp;$B50&amp;" EI'!$D$6:$Z$53")))*_xlfn.XLOOKUP($B50&amp;F$15,'Gas Useage'!$A$4:$A$15&amp;'Gas Useage'!$B$4:$B$15,_xlfn.XLOOKUP($C50&amp;F$14,'Gas Useage'!$C$2:$AB$2&amp;'Gas Useage'!$C$3:$AB$3,'Gas Useage'!$C$4:$AB$15))/_xlfn.XLOOKUP($B50&amp;F$15,'Gas Useage'!$A$4:$A$15&amp;'Gas Useage'!$B$4:$B$15,_xlfn.XLOOKUP(F$14,'Gas Useage'!$AA$3:$AB$3,'Gas Useage'!$AA$4:$AB$15))</f>
        <v>7.290402608429269E-5</v>
      </c>
      <c r="G50" s="290" cm="1">
        <f t="array" aca="1" ref="G50" ca="1">_xlfn.XLOOKUP(G$13,INDIRECT("'"&amp;$B50&amp;" EI'!$B$6:$B$53"),_xlfn.XLOOKUP($C$10,INDIRECT("'"&amp;$B50&amp;" EI'!$D$4:$Z$4"),INDIRECT("'"&amp;$B50&amp;" EI'!$D$6:$Z$53")))*_xlfn.XLOOKUP($B50&amp;G$15,'Gas Useage'!$A$4:$A$15&amp;'Gas Useage'!$B$4:$B$15,_xlfn.XLOOKUP($C50&amp;G$14,'Gas Useage'!$C$2:$AB$2&amp;'Gas Useage'!$C$3:$AB$3,'Gas Useage'!$C$4:$AB$15))/_xlfn.XLOOKUP($B50&amp;G$15,'Gas Useage'!$A$4:$A$15&amp;'Gas Useage'!$B$4:$B$15,_xlfn.XLOOKUP(G$14,'Gas Useage'!$AA$3:$AB$3,'Gas Useage'!$AA$4:$AB$15))</f>
        <v>3.4714746249813707E-5</v>
      </c>
      <c r="H50" s="291">
        <f t="shared" ca="1" si="0"/>
        <v>1.6131304001808389</v>
      </c>
      <c r="I50" s="291">
        <f t="shared" ca="1" si="0"/>
        <v>0.5442047726804965</v>
      </c>
      <c r="J50" s="291">
        <f t="shared" ca="1" si="0"/>
        <v>1.5404671839753394</v>
      </c>
      <c r="K50" s="292">
        <f t="shared" ca="1" si="0"/>
        <v>0.4935107485576774</v>
      </c>
      <c r="N50" s="258"/>
    </row>
    <row r="51" spans="2:14" ht="14.25" hidden="1" thickBot="1" x14ac:dyDescent="0.3">
      <c r="B51" s="285">
        <v>2022</v>
      </c>
      <c r="C51" s="286" t="s">
        <v>289</v>
      </c>
      <c r="D51" s="287" cm="1">
        <f t="array" aca="1" ref="D51" ca="1">_xlfn.XLOOKUP(D$13,INDIRECT("'"&amp;$B51&amp;" EI'!$B$6:$B$53"),_xlfn.XLOOKUP($C$10,INDIRECT("'"&amp;$B51&amp;" EI'!$D$4:$Z$4"),INDIRECT("'"&amp;$B51&amp;" EI'!$D$6:$Z$53")))*_xlfn.XLOOKUP($B51&amp;D$15,'Gas Useage'!$A$4:$A$15&amp;'Gas Useage'!$B$4:$B$15,_xlfn.XLOOKUP($C51&amp;D$14,'Gas Useage'!$C$2:$AB$2&amp;'Gas Useage'!$C$3:$AB$3,'Gas Useage'!$C$4:$AB$15))/_xlfn.XLOOKUP($B51&amp;D$15,'Gas Useage'!$A$4:$A$15&amp;'Gas Useage'!$B$4:$B$15,_xlfn.XLOOKUP(D$14,'Gas Useage'!$AA$3:$AB$3,'Gas Useage'!$AA$4:$AB$15))</f>
        <v>2.9012946459346645E-5</v>
      </c>
      <c r="E51" s="287" cm="1">
        <f t="array" aca="1" ref="E51" ca="1">_xlfn.XLOOKUP(E$13,INDIRECT("'"&amp;$B51&amp;" EI'!$B$6:$B$53"),_xlfn.XLOOKUP($C$10,INDIRECT("'"&amp;$B51&amp;" EI'!$D$4:$Z$4"),INDIRECT("'"&amp;$B51&amp;" EI'!$D$6:$Z$53")))*_xlfn.XLOOKUP($B51&amp;E$15,'Gas Useage'!$A$4:$A$15&amp;'Gas Useage'!$B$4:$B$15,_xlfn.XLOOKUP($C51&amp;E$14,'Gas Useage'!$C$2:$AB$2&amp;'Gas Useage'!$C$3:$AB$3,'Gas Useage'!$C$4:$AB$15))/_xlfn.XLOOKUP($B51&amp;E$15,'Gas Useage'!$A$4:$A$15&amp;'Gas Useage'!$B$4:$B$15,_xlfn.XLOOKUP(E$14,'Gas Useage'!$AA$3:$AB$3,'Gas Useage'!$AA$4:$AB$15))</f>
        <v>1.5064083647847123E-5</v>
      </c>
      <c r="F51" s="287" cm="1">
        <f t="array" aca="1" ref="F51" ca="1">_xlfn.XLOOKUP(F$13,INDIRECT("'"&amp;$B51&amp;" EI'!$B$6:$B$53"),_xlfn.XLOOKUP($C$10,INDIRECT("'"&amp;$B51&amp;" EI'!$D$4:$Z$4"),INDIRECT("'"&amp;$B51&amp;" EI'!$D$6:$Z$53")))*_xlfn.XLOOKUP($B51&amp;F$15,'Gas Useage'!$A$4:$A$15&amp;'Gas Useage'!$B$4:$B$15,_xlfn.XLOOKUP($C51&amp;F$14,'Gas Useage'!$C$2:$AB$2&amp;'Gas Useage'!$C$3:$AB$3,'Gas Useage'!$C$4:$AB$15))/_xlfn.XLOOKUP($B51&amp;F$15,'Gas Useage'!$A$4:$A$15&amp;'Gas Useage'!$B$4:$B$15,_xlfn.XLOOKUP(F$14,'Gas Useage'!$AA$3:$AB$3,'Gas Useage'!$AA$4:$AB$15))</f>
        <v>2.0998434683342656E-5</v>
      </c>
      <c r="G51" s="287" cm="1">
        <f t="array" aca="1" ref="G51" ca="1">_xlfn.XLOOKUP(G$13,INDIRECT("'"&amp;$B51&amp;" EI'!$B$6:$B$53"),_xlfn.XLOOKUP($C$10,INDIRECT("'"&amp;$B51&amp;" EI'!$D$4:$Z$4"),INDIRECT("'"&amp;$B51&amp;" EI'!$D$6:$Z$53")))*_xlfn.XLOOKUP($B51&amp;G$15,'Gas Useage'!$A$4:$A$15&amp;'Gas Useage'!$B$4:$B$15,_xlfn.XLOOKUP($C51&amp;G$14,'Gas Useage'!$C$2:$AB$2&amp;'Gas Useage'!$C$3:$AB$3,'Gas Useage'!$C$4:$AB$15))/_xlfn.XLOOKUP($B51&amp;G$15,'Gas Useage'!$A$4:$A$15&amp;'Gas Useage'!$B$4:$B$15,_xlfn.XLOOKUP(G$14,'Gas Useage'!$AA$3:$AB$3,'Gas Useage'!$AA$4:$AB$15))</f>
        <v>1.0902793929839668E-5</v>
      </c>
      <c r="H51" s="288">
        <f t="shared" ca="1" si="0"/>
        <v>1.5369090907030043</v>
      </c>
      <c r="I51" s="288">
        <f t="shared" ca="1" si="0"/>
        <v>0.50797284091151396</v>
      </c>
      <c r="J51" s="288">
        <f t="shared" ca="1" si="0"/>
        <v>1.4250788677408932</v>
      </c>
      <c r="K51" s="289">
        <f t="shared" ca="1" si="0"/>
        <v>0.43866020944410061</v>
      </c>
      <c r="N51" s="258"/>
    </row>
    <row r="53" spans="2:14" x14ac:dyDescent="0.2">
      <c r="B53" s="265"/>
      <c r="C53" s="265"/>
    </row>
    <row r="54" spans="2:14" x14ac:dyDescent="0.2">
      <c r="B54" s="266"/>
      <c r="C54" s="266"/>
      <c r="D54" s="267"/>
      <c r="E54" s="267"/>
      <c r="F54" s="267"/>
      <c r="G54" s="267"/>
    </row>
    <row r="55" spans="2:14" x14ac:dyDescent="0.2">
      <c r="B55" s="266"/>
      <c r="C55" s="266"/>
      <c r="D55" s="267"/>
      <c r="E55" s="267"/>
      <c r="F55" s="267"/>
      <c r="G55" s="267"/>
    </row>
    <row r="56" spans="2:14" x14ac:dyDescent="0.2">
      <c r="B56" s="266"/>
      <c r="C56" s="266"/>
      <c r="D56" s="267"/>
      <c r="E56" s="267"/>
      <c r="F56" s="267"/>
      <c r="G56" s="267"/>
    </row>
    <row r="57" spans="2:14" x14ac:dyDescent="0.2">
      <c r="B57" s="266"/>
      <c r="C57" s="266"/>
      <c r="D57" s="267"/>
      <c r="E57" s="267"/>
      <c r="F57" s="267"/>
      <c r="G57" s="267"/>
    </row>
    <row r="58" spans="2:14" x14ac:dyDescent="0.2">
      <c r="B58" s="266"/>
      <c r="C58" s="266"/>
      <c r="D58" s="267"/>
      <c r="E58" s="267"/>
      <c r="F58" s="267"/>
      <c r="G58" s="267"/>
      <c r="H58" s="267"/>
      <c r="I58" s="267"/>
      <c r="J58" s="267"/>
      <c r="K58" s="267"/>
    </row>
    <row r="61" spans="2:14" x14ac:dyDescent="0.2">
      <c r="B61" s="265"/>
      <c r="C61" s="265"/>
      <c r="D61" s="268"/>
    </row>
    <row r="62" spans="2:14" x14ac:dyDescent="0.2">
      <c r="B62" s="266"/>
      <c r="C62" s="266"/>
    </row>
    <row r="63" spans="2:14" x14ac:dyDescent="0.2">
      <c r="B63" s="266"/>
      <c r="C63" s="266"/>
    </row>
    <row r="64" spans="2:14" x14ac:dyDescent="0.2">
      <c r="B64" s="266"/>
      <c r="C64" s="266"/>
    </row>
    <row r="65" spans="2:3" x14ac:dyDescent="0.2">
      <c r="B65" s="266"/>
      <c r="C65" s="266"/>
    </row>
    <row r="66" spans="2:3" x14ac:dyDescent="0.2">
      <c r="B66" s="266"/>
      <c r="C66" s="266"/>
    </row>
    <row r="68" spans="2:3" x14ac:dyDescent="0.2">
      <c r="B68" s="266"/>
      <c r="C68" s="266"/>
    </row>
    <row r="70" spans="2:3" x14ac:dyDescent="0.2">
      <c r="B70" s="265"/>
      <c r="C70" s="265"/>
    </row>
  </sheetData>
  <mergeCells count="2">
    <mergeCell ref="D12:G12"/>
    <mergeCell ref="H12:K12"/>
  </mergeCells>
  <pageMargins left="0.7" right="0.7" top="0.75" bottom="0.75" header="0.3" footer="0.3"/>
  <pageSetup scale="66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8DFB6-0C10-4CB4-AE19-CFEDCA98E6D1}">
  <sheetPr>
    <tabColor theme="1"/>
  </sheetPr>
  <dimension ref="B1:U70"/>
  <sheetViews>
    <sheetView view="pageBreakPreview" zoomScale="60" zoomScaleNormal="100" workbookViewId="0">
      <selection activeCell="J40" sqref="J40:J41"/>
    </sheetView>
  </sheetViews>
  <sheetFormatPr defaultColWidth="9.140625" defaultRowHeight="12.75" x14ac:dyDescent="0.2"/>
  <cols>
    <col min="1" max="1" width="4.28515625" style="252" customWidth="1"/>
    <col min="2" max="2" width="12" style="252" customWidth="1"/>
    <col min="3" max="3" width="18.85546875" style="252" customWidth="1"/>
    <col min="4" max="7" width="8.85546875" style="252" bestFit="1" customWidth="1"/>
    <col min="8" max="13" width="9.140625" style="252"/>
    <col min="14" max="14" width="11.140625" style="252" bestFit="1" customWidth="1"/>
    <col min="15" max="15" width="17.28515625" style="252" customWidth="1"/>
    <col min="16" max="16" width="15.42578125" style="252" customWidth="1"/>
    <col min="17" max="16384" width="9.140625" style="252"/>
  </cols>
  <sheetData>
    <row r="1" spans="2:21" s="18" customFormat="1" x14ac:dyDescent="0.2">
      <c r="B1" s="28"/>
      <c r="C1" s="28"/>
      <c r="F1" s="19"/>
      <c r="G1" s="19"/>
    </row>
    <row r="2" spans="2:21" s="18" customFormat="1" x14ac:dyDescent="0.2">
      <c r="B2" s="28"/>
      <c r="C2" s="28"/>
      <c r="F2" s="19"/>
      <c r="G2" s="19"/>
    </row>
    <row r="3" spans="2:21" x14ac:dyDescent="0.2">
      <c r="B3" s="20"/>
      <c r="C3" s="20"/>
    </row>
    <row r="4" spans="2:21" x14ac:dyDescent="0.2">
      <c r="B4" s="24" t="s">
        <v>0</v>
      </c>
      <c r="C4" s="25" t="s">
        <v>261</v>
      </c>
    </row>
    <row r="5" spans="2:21" x14ac:dyDescent="0.2">
      <c r="B5" s="24" t="s">
        <v>79</v>
      </c>
      <c r="C5" s="25" t="s">
        <v>4</v>
      </c>
    </row>
    <row r="6" spans="2:21" x14ac:dyDescent="0.2">
      <c r="B6" s="24" t="s">
        <v>80</v>
      </c>
      <c r="C6" s="25" t="s">
        <v>262</v>
      </c>
    </row>
    <row r="7" spans="2:21" x14ac:dyDescent="0.2">
      <c r="B7" s="20"/>
      <c r="C7" s="20"/>
    </row>
    <row r="8" spans="2:21" x14ac:dyDescent="0.2">
      <c r="B8" s="26"/>
      <c r="C8" s="26"/>
    </row>
    <row r="9" spans="2:21" x14ac:dyDescent="0.2">
      <c r="B9" s="26"/>
      <c r="C9" s="26"/>
    </row>
    <row r="10" spans="2:21" x14ac:dyDescent="0.2">
      <c r="B10" s="27" t="s">
        <v>263</v>
      </c>
      <c r="C10" s="35" t="s">
        <v>66</v>
      </c>
    </row>
    <row r="11" spans="2:21" s="253" customFormat="1" ht="15" customHeight="1" thickBot="1" x14ac:dyDescent="0.25">
      <c r="O11" s="252"/>
      <c r="P11" s="252"/>
      <c r="Q11" s="252"/>
      <c r="R11" s="252"/>
      <c r="S11" s="252"/>
      <c r="T11" s="252"/>
      <c r="U11" s="252"/>
    </row>
    <row r="12" spans="2:21" ht="16.5" customHeight="1" thickBot="1" x14ac:dyDescent="0.25">
      <c r="B12" s="30"/>
      <c r="C12" s="30"/>
      <c r="D12" s="552" t="s">
        <v>265</v>
      </c>
      <c r="E12" s="553"/>
      <c r="F12" s="553"/>
      <c r="G12" s="554"/>
      <c r="H12" s="552" t="s">
        <v>266</v>
      </c>
      <c r="I12" s="553"/>
      <c r="J12" s="553"/>
      <c r="K12" s="554"/>
      <c r="L12" s="254"/>
    </row>
    <row r="13" spans="2:21" ht="27.75" thickBot="1" x14ac:dyDescent="0.25">
      <c r="B13" s="29" t="s">
        <v>267</v>
      </c>
      <c r="C13" s="29" t="s">
        <v>268</v>
      </c>
      <c r="D13" s="531" t="s">
        <v>269</v>
      </c>
      <c r="E13" s="532" t="s">
        <v>270</v>
      </c>
      <c r="F13" s="532" t="s">
        <v>271</v>
      </c>
      <c r="G13" s="533" t="s">
        <v>272</v>
      </c>
      <c r="H13" s="531" t="s">
        <v>269</v>
      </c>
      <c r="I13" s="532" t="s">
        <v>270</v>
      </c>
      <c r="J13" s="532" t="s">
        <v>271</v>
      </c>
      <c r="K13" s="533" t="s">
        <v>272</v>
      </c>
    </row>
    <row r="14" spans="2:21" ht="27.75" thickBot="1" x14ac:dyDescent="0.25">
      <c r="B14" s="199"/>
      <c r="C14" s="199"/>
      <c r="D14" s="531" t="s">
        <v>273</v>
      </c>
      <c r="E14" s="532" t="s">
        <v>274</v>
      </c>
      <c r="F14" s="532" t="s">
        <v>273</v>
      </c>
      <c r="G14" s="533" t="s">
        <v>274</v>
      </c>
      <c r="H14" s="531"/>
      <c r="I14" s="532"/>
      <c r="J14" s="532"/>
      <c r="K14" s="533"/>
    </row>
    <row r="15" spans="2:21" ht="14.25" thickBot="1" x14ac:dyDescent="0.25">
      <c r="B15" s="199"/>
      <c r="C15" s="199"/>
      <c r="D15" s="534" t="s">
        <v>275</v>
      </c>
      <c r="E15" s="535" t="s">
        <v>275</v>
      </c>
      <c r="F15" s="535" t="s">
        <v>276</v>
      </c>
      <c r="G15" s="536" t="s">
        <v>276</v>
      </c>
      <c r="H15" s="534"/>
      <c r="I15" s="535"/>
      <c r="J15" s="535"/>
      <c r="K15" s="536"/>
    </row>
    <row r="16" spans="2:21" ht="13.5" hidden="1" x14ac:dyDescent="0.25">
      <c r="B16" s="31">
        <v>2020</v>
      </c>
      <c r="C16" s="197" t="s">
        <v>277</v>
      </c>
      <c r="D16" s="255" t="str" cm="1">
        <f t="array" aca="1" ref="D16" ca="1">IFERROR(_xlfn.XLOOKUP(D$13,INDIRECT("'"&amp;$B16&amp;" EI'!$B$6:$B$53"),_xlfn.XLOOKUP($C$10,INDIRECT("'"&amp;$B16&amp;" EI'!$D$4:$Z$4"),INDIRECT("'"&amp;$B16&amp;" EI'!$D$6:$Z$53")))*_xlfn.XLOOKUP($B16&amp;D$15,'Gas Useage'!$A$4:$A$15&amp;'Gas Useage'!$B$4:$B$15,_xlfn.XLOOKUP($C16&amp;D$14,'Gas Useage'!$C$2:$AB$2&amp;'Gas Useage'!$C$3:$AB$3,'Gas Useage'!$C$4:$AB$15))/_xlfn.XLOOKUP($B16&amp;D$15,'Gas Useage'!$A$4:$A$15&amp;'Gas Useage'!$B$4:$B$15,_xlfn.XLOOKUP(D$14,'Gas Useage'!$AA$3:$AB$3,'Gas Useage'!$AA$4:$AB$15)),"---")</f>
        <v>---</v>
      </c>
      <c r="E16" s="255" cm="1">
        <f t="array" aca="1" ref="E16" ca="1">IFERROR(_xlfn.XLOOKUP(E$13,INDIRECT("'"&amp;$B16&amp;" EI'!$B$6:$B$53"),_xlfn.XLOOKUP($C$10,INDIRECT("'"&amp;$B16&amp;" EI'!$D$4:$Z$4"),INDIRECT("'"&amp;$B16&amp;" EI'!$D$6:$Z$53")))*_xlfn.XLOOKUP($B16&amp;E$15,'Gas Useage'!$A$4:$A$15&amp;'Gas Useage'!$B$4:$B$15,_xlfn.XLOOKUP($C16&amp;E$14,'Gas Useage'!$C$2:$AB$2&amp;'Gas Useage'!$C$3:$AB$3,'Gas Useage'!$C$4:$AB$15))/_xlfn.XLOOKUP($B16&amp;E$15,'Gas Useage'!$A$4:$A$15&amp;'Gas Useage'!$B$4:$B$15,_xlfn.XLOOKUP(E$14,'Gas Useage'!$AA$3:$AB$3,'Gas Useage'!$AA$4:$AB$15)),"---")</f>
        <v>2.5909382271294516E-7</v>
      </c>
      <c r="F16" s="255" t="str" cm="1">
        <f t="array" aca="1" ref="F16" ca="1">IFERROR(_xlfn.XLOOKUP(F$13,INDIRECT("'"&amp;$B16&amp;" EI'!$B$6:$B$53"),_xlfn.XLOOKUP($C$10,INDIRECT("'"&amp;$B16&amp;" EI'!$D$4:$Z$4"),INDIRECT("'"&amp;$B16&amp;" EI'!$D$6:$Z$53")))*_xlfn.XLOOKUP($B16&amp;F$15,'Gas Useage'!$A$4:$A$15&amp;'Gas Useage'!$B$4:$B$15,_xlfn.XLOOKUP($C16&amp;F$14,'Gas Useage'!$C$2:$AB$2&amp;'Gas Useage'!$C$3:$AB$3,'Gas Useage'!$C$4:$AB$15))/_xlfn.XLOOKUP($B16&amp;F$15,'Gas Useage'!$A$4:$A$15&amp;'Gas Useage'!$B$4:$B$15,_xlfn.XLOOKUP(F$14,'Gas Useage'!$AA$3:$AB$3,'Gas Useage'!$AA$4:$AB$15)),"---")</f>
        <v>---</v>
      </c>
      <c r="G16" s="255" cm="1">
        <f t="array" aca="1" ref="G16" ca="1">IFERROR(_xlfn.XLOOKUP(G$13,INDIRECT("'"&amp;$B16&amp;" EI'!$B$6:$B$53"),_xlfn.XLOOKUP($C$10,INDIRECT("'"&amp;$B16&amp;" EI'!$D$4:$Z$4"),INDIRECT("'"&amp;$B16&amp;" EI'!$D$6:$Z$53")))*_xlfn.XLOOKUP($B16&amp;G$15,'Gas Useage'!$A$4:$A$15&amp;'Gas Useage'!$B$4:$B$15,_xlfn.XLOOKUP($C16&amp;G$14,'Gas Useage'!$C$2:$AB$2&amp;'Gas Useage'!$C$3:$AB$3,'Gas Useage'!$C$4:$AB$15))/_xlfn.XLOOKUP($B16&amp;G$15,'Gas Useage'!$A$4:$A$15&amp;'Gas Useage'!$B$4:$B$15,_xlfn.XLOOKUP(G$14,'Gas Useage'!$AA$3:$AB$3,'Gas Useage'!$AA$4:$AB$15)),"---")</f>
        <v>3.3919179320148976E-7</v>
      </c>
      <c r="H16" s="256" t="s">
        <v>278</v>
      </c>
      <c r="I16" s="256" t="s">
        <v>278</v>
      </c>
      <c r="J16" s="256" t="s">
        <v>278</v>
      </c>
      <c r="K16" s="257" t="s">
        <v>278</v>
      </c>
      <c r="N16" s="258"/>
    </row>
    <row r="17" spans="2:14" ht="13.5" hidden="1" x14ac:dyDescent="0.25">
      <c r="B17" s="32">
        <v>2020</v>
      </c>
      <c r="C17" s="198" t="s">
        <v>279</v>
      </c>
      <c r="D17" s="259" t="str" cm="1">
        <f t="array" aca="1" ref="D17" ca="1">IFERROR(_xlfn.XLOOKUP(D$13,INDIRECT("'"&amp;$B17&amp;" EI'!$B$6:$B$53"),_xlfn.XLOOKUP($C$10,INDIRECT("'"&amp;$B17&amp;" EI'!$D$4:$Z$4"),INDIRECT("'"&amp;$B17&amp;" EI'!$D$6:$Z$53")))*_xlfn.XLOOKUP($B17&amp;D$15,'Gas Useage'!$A$4:$A$15&amp;'Gas Useage'!$B$4:$B$15,_xlfn.XLOOKUP($C17&amp;D$14,'Gas Useage'!$C$2:$AB$2&amp;'Gas Useage'!$C$3:$AB$3,'Gas Useage'!$C$4:$AB$15))/_xlfn.XLOOKUP($B17&amp;D$15,'Gas Useage'!$A$4:$A$15&amp;'Gas Useage'!$B$4:$B$15,_xlfn.XLOOKUP(D$14,'Gas Useage'!$AA$3:$AB$3,'Gas Useage'!$AA$4:$AB$15)),"---")</f>
        <v>---</v>
      </c>
      <c r="E17" s="259" cm="1">
        <f t="array" aca="1" ref="E17" ca="1">IFERROR(_xlfn.XLOOKUP(E$13,INDIRECT("'"&amp;$B17&amp;" EI'!$B$6:$B$53"),_xlfn.XLOOKUP($C$10,INDIRECT("'"&amp;$B17&amp;" EI'!$D$4:$Z$4"),INDIRECT("'"&amp;$B17&amp;" EI'!$D$6:$Z$53")))*_xlfn.XLOOKUP($B17&amp;E$15,'Gas Useage'!$A$4:$A$15&amp;'Gas Useage'!$B$4:$B$15,_xlfn.XLOOKUP($C17&amp;E$14,'Gas Useage'!$C$2:$AB$2&amp;'Gas Useage'!$C$3:$AB$3,'Gas Useage'!$C$4:$AB$15))/_xlfn.XLOOKUP($B17&amp;E$15,'Gas Useage'!$A$4:$A$15&amp;'Gas Useage'!$B$4:$B$15,_xlfn.XLOOKUP(E$14,'Gas Useage'!$AA$3:$AB$3,'Gas Useage'!$AA$4:$AB$15)),"---")</f>
        <v>5.3767324813657972E-7</v>
      </c>
      <c r="F17" s="259" t="str" cm="1">
        <f t="array" aca="1" ref="F17" ca="1">IFERROR(_xlfn.XLOOKUP(F$13,INDIRECT("'"&amp;$B17&amp;" EI'!$B$6:$B$53"),_xlfn.XLOOKUP($C$10,INDIRECT("'"&amp;$B17&amp;" EI'!$D$4:$Z$4"),INDIRECT("'"&amp;$B17&amp;" EI'!$D$6:$Z$53")))*_xlfn.XLOOKUP($B17&amp;F$15,'Gas Useage'!$A$4:$A$15&amp;'Gas Useage'!$B$4:$B$15,_xlfn.XLOOKUP($C17&amp;F$14,'Gas Useage'!$C$2:$AB$2&amp;'Gas Useage'!$C$3:$AB$3,'Gas Useage'!$C$4:$AB$15))/_xlfn.XLOOKUP($B17&amp;F$15,'Gas Useage'!$A$4:$A$15&amp;'Gas Useage'!$B$4:$B$15,_xlfn.XLOOKUP(F$14,'Gas Useage'!$AA$3:$AB$3,'Gas Useage'!$AA$4:$AB$15)),"---")</f>
        <v>---</v>
      </c>
      <c r="G17" s="259" cm="1">
        <f t="array" aca="1" ref="G17" ca="1">IFERROR(_xlfn.XLOOKUP(G$13,INDIRECT("'"&amp;$B17&amp;" EI'!$B$6:$B$53"),_xlfn.XLOOKUP($C$10,INDIRECT("'"&amp;$B17&amp;" EI'!$D$4:$Z$4"),INDIRECT("'"&amp;$B17&amp;" EI'!$D$6:$Z$53")))*_xlfn.XLOOKUP($B17&amp;G$15,'Gas Useage'!$A$4:$A$15&amp;'Gas Useage'!$B$4:$B$15,_xlfn.XLOOKUP($C17&amp;G$14,'Gas Useage'!$C$2:$AB$2&amp;'Gas Useage'!$C$3:$AB$3,'Gas Useage'!$C$4:$AB$15))/_xlfn.XLOOKUP($B17&amp;G$15,'Gas Useage'!$A$4:$A$15&amp;'Gas Useage'!$B$4:$B$15,_xlfn.XLOOKUP(G$14,'Gas Useage'!$AA$3:$AB$3,'Gas Useage'!$AA$4:$AB$15)),"---")</f>
        <v>4.3852556095971018E-7</v>
      </c>
      <c r="H17" s="260" t="s">
        <v>278</v>
      </c>
      <c r="I17" s="260" t="s">
        <v>278</v>
      </c>
      <c r="J17" s="260" t="s">
        <v>278</v>
      </c>
      <c r="K17" s="261" t="s">
        <v>278</v>
      </c>
      <c r="N17" s="258"/>
    </row>
    <row r="18" spans="2:14" ht="13.5" hidden="1" x14ac:dyDescent="0.25">
      <c r="B18" s="32">
        <v>2020</v>
      </c>
      <c r="C18" s="198" t="s">
        <v>280</v>
      </c>
      <c r="D18" s="259" t="str" cm="1">
        <f t="array" aca="1" ref="D18" ca="1">IFERROR(_xlfn.XLOOKUP(D$13,INDIRECT("'"&amp;$B18&amp;" EI'!$B$6:$B$53"),_xlfn.XLOOKUP($C$10,INDIRECT("'"&amp;$B18&amp;" EI'!$D$4:$Z$4"),INDIRECT("'"&amp;$B18&amp;" EI'!$D$6:$Z$53")))*_xlfn.XLOOKUP($B18&amp;D$15,'Gas Useage'!$A$4:$A$15&amp;'Gas Useage'!$B$4:$B$15,_xlfn.XLOOKUP($C18&amp;D$14,'Gas Useage'!$C$2:$AB$2&amp;'Gas Useage'!$C$3:$AB$3,'Gas Useage'!$C$4:$AB$15))/_xlfn.XLOOKUP($B18&amp;D$15,'Gas Useage'!$A$4:$A$15&amp;'Gas Useage'!$B$4:$B$15,_xlfn.XLOOKUP(D$14,'Gas Useage'!$AA$3:$AB$3,'Gas Useage'!$AA$4:$AB$15)),"---")</f>
        <v>---</v>
      </c>
      <c r="E18" s="259" cm="1">
        <f t="array" aca="1" ref="E18" ca="1">IFERROR(_xlfn.XLOOKUP(E$13,INDIRECT("'"&amp;$B18&amp;" EI'!$B$6:$B$53"),_xlfn.XLOOKUP($C$10,INDIRECT("'"&amp;$B18&amp;" EI'!$D$4:$Z$4"),INDIRECT("'"&amp;$B18&amp;" EI'!$D$6:$Z$53")))*_xlfn.XLOOKUP($B18&amp;E$15,'Gas Useage'!$A$4:$A$15&amp;'Gas Useage'!$B$4:$B$15,_xlfn.XLOOKUP($C18&amp;E$14,'Gas Useage'!$C$2:$AB$2&amp;'Gas Useage'!$C$3:$AB$3,'Gas Useage'!$C$4:$AB$15))/_xlfn.XLOOKUP($B18&amp;E$15,'Gas Useage'!$A$4:$A$15&amp;'Gas Useage'!$B$4:$B$15,_xlfn.XLOOKUP(E$14,'Gas Useage'!$AA$3:$AB$3,'Gas Useage'!$AA$4:$AB$15)),"---")</f>
        <v>5.7318638232978319E-7</v>
      </c>
      <c r="F18" s="259" t="str" cm="1">
        <f t="array" aca="1" ref="F18" ca="1">IFERROR(_xlfn.XLOOKUP(F$13,INDIRECT("'"&amp;$B18&amp;" EI'!$B$6:$B$53"),_xlfn.XLOOKUP($C$10,INDIRECT("'"&amp;$B18&amp;" EI'!$D$4:$Z$4"),INDIRECT("'"&amp;$B18&amp;" EI'!$D$6:$Z$53")))*_xlfn.XLOOKUP($B18&amp;F$15,'Gas Useage'!$A$4:$A$15&amp;'Gas Useage'!$B$4:$B$15,_xlfn.XLOOKUP($C18&amp;F$14,'Gas Useage'!$C$2:$AB$2&amp;'Gas Useage'!$C$3:$AB$3,'Gas Useage'!$C$4:$AB$15))/_xlfn.XLOOKUP($B18&amp;F$15,'Gas Useage'!$A$4:$A$15&amp;'Gas Useage'!$B$4:$B$15,_xlfn.XLOOKUP(F$14,'Gas Useage'!$AA$3:$AB$3,'Gas Useage'!$AA$4:$AB$15)),"---")</f>
        <v>---</v>
      </c>
      <c r="G18" s="259" cm="1">
        <f t="array" aca="1" ref="G18" ca="1">IFERROR(_xlfn.XLOOKUP(G$13,INDIRECT("'"&amp;$B18&amp;" EI'!$B$6:$B$53"),_xlfn.XLOOKUP($C$10,INDIRECT("'"&amp;$B18&amp;" EI'!$D$4:$Z$4"),INDIRECT("'"&amp;$B18&amp;" EI'!$D$6:$Z$53")))*_xlfn.XLOOKUP($B18&amp;G$15,'Gas Useage'!$A$4:$A$15&amp;'Gas Useage'!$B$4:$B$15,_xlfn.XLOOKUP($C18&amp;G$14,'Gas Useage'!$C$2:$AB$2&amp;'Gas Useage'!$C$3:$AB$3,'Gas Useage'!$C$4:$AB$15))/_xlfn.XLOOKUP($B18&amp;G$15,'Gas Useage'!$A$4:$A$15&amp;'Gas Useage'!$B$4:$B$15,_xlfn.XLOOKUP(G$14,'Gas Useage'!$AA$3:$AB$3,'Gas Useage'!$AA$4:$AB$15)),"---")</f>
        <v>3.5629134100807791E-7</v>
      </c>
      <c r="H18" s="260" t="s">
        <v>278</v>
      </c>
      <c r="I18" s="260" t="s">
        <v>278</v>
      </c>
      <c r="J18" s="260" t="s">
        <v>278</v>
      </c>
      <c r="K18" s="261" t="s">
        <v>278</v>
      </c>
      <c r="N18" s="258"/>
    </row>
    <row r="19" spans="2:14" ht="13.5" hidden="1" x14ac:dyDescent="0.25">
      <c r="B19" s="32">
        <v>2020</v>
      </c>
      <c r="C19" s="198" t="s">
        <v>281</v>
      </c>
      <c r="D19" s="259" t="str" cm="1">
        <f t="array" aca="1" ref="D19" ca="1">IFERROR(_xlfn.XLOOKUP(D$13,INDIRECT("'"&amp;$B19&amp;" EI'!$B$6:$B$53"),_xlfn.XLOOKUP($C$10,INDIRECT("'"&amp;$B19&amp;" EI'!$D$4:$Z$4"),INDIRECT("'"&amp;$B19&amp;" EI'!$D$6:$Z$53")))*_xlfn.XLOOKUP($B19&amp;D$15,'Gas Useage'!$A$4:$A$15&amp;'Gas Useage'!$B$4:$B$15,_xlfn.XLOOKUP($C19&amp;D$14,'Gas Useage'!$C$2:$AB$2&amp;'Gas Useage'!$C$3:$AB$3,'Gas Useage'!$C$4:$AB$15))/_xlfn.XLOOKUP($B19&amp;D$15,'Gas Useage'!$A$4:$A$15&amp;'Gas Useage'!$B$4:$B$15,_xlfn.XLOOKUP(D$14,'Gas Useage'!$AA$3:$AB$3,'Gas Useage'!$AA$4:$AB$15)),"---")</f>
        <v>---</v>
      </c>
      <c r="E19" s="259" cm="1">
        <f t="array" aca="1" ref="E19" ca="1">IFERROR(_xlfn.XLOOKUP(E$13,INDIRECT("'"&amp;$B19&amp;" EI'!$B$6:$B$53"),_xlfn.XLOOKUP($C$10,INDIRECT("'"&amp;$B19&amp;" EI'!$D$4:$Z$4"),INDIRECT("'"&amp;$B19&amp;" EI'!$D$6:$Z$53")))*_xlfn.XLOOKUP($B19&amp;E$15,'Gas Useage'!$A$4:$A$15&amp;'Gas Useage'!$B$4:$B$15,_xlfn.XLOOKUP($C19&amp;E$14,'Gas Useage'!$C$2:$AB$2&amp;'Gas Useage'!$C$3:$AB$3,'Gas Useage'!$C$4:$AB$15))/_xlfn.XLOOKUP($B19&amp;E$15,'Gas Useage'!$A$4:$A$15&amp;'Gas Useage'!$B$4:$B$15,_xlfn.XLOOKUP(E$14,'Gas Useage'!$AA$3:$AB$3,'Gas Useage'!$AA$4:$AB$15)),"---")</f>
        <v>2.2729756344995545E-7</v>
      </c>
      <c r="F19" s="259" t="str" cm="1">
        <f t="array" aca="1" ref="F19" ca="1">IFERROR(_xlfn.XLOOKUP(F$13,INDIRECT("'"&amp;$B19&amp;" EI'!$B$6:$B$53"),_xlfn.XLOOKUP($C$10,INDIRECT("'"&amp;$B19&amp;" EI'!$D$4:$Z$4"),INDIRECT("'"&amp;$B19&amp;" EI'!$D$6:$Z$53")))*_xlfn.XLOOKUP($B19&amp;F$15,'Gas Useage'!$A$4:$A$15&amp;'Gas Useage'!$B$4:$B$15,_xlfn.XLOOKUP($C19&amp;F$14,'Gas Useage'!$C$2:$AB$2&amp;'Gas Useage'!$C$3:$AB$3,'Gas Useage'!$C$4:$AB$15))/_xlfn.XLOOKUP($B19&amp;F$15,'Gas Useage'!$A$4:$A$15&amp;'Gas Useage'!$B$4:$B$15,_xlfn.XLOOKUP(F$14,'Gas Useage'!$AA$3:$AB$3,'Gas Useage'!$AA$4:$AB$15)),"---")</f>
        <v>---</v>
      </c>
      <c r="G19" s="259" cm="1">
        <f t="array" aca="1" ref="G19" ca="1">IFERROR(_xlfn.XLOOKUP(G$13,INDIRECT("'"&amp;$B19&amp;" EI'!$B$6:$B$53"),_xlfn.XLOOKUP($C$10,INDIRECT("'"&amp;$B19&amp;" EI'!$D$4:$Z$4"),INDIRECT("'"&amp;$B19&amp;" EI'!$D$6:$Z$53")))*_xlfn.XLOOKUP($B19&amp;G$15,'Gas Useage'!$A$4:$A$15&amp;'Gas Useage'!$B$4:$B$15,_xlfn.XLOOKUP($C19&amp;G$14,'Gas Useage'!$C$2:$AB$2&amp;'Gas Useage'!$C$3:$AB$3,'Gas Useage'!$C$4:$AB$15))/_xlfn.XLOOKUP($B19&amp;G$15,'Gas Useage'!$A$4:$A$15&amp;'Gas Useage'!$B$4:$B$15,_xlfn.XLOOKUP(G$14,'Gas Useage'!$AA$3:$AB$3,'Gas Useage'!$AA$4:$AB$15)),"---")</f>
        <v>2.2805699399940392E-7</v>
      </c>
      <c r="H19" s="260" t="s">
        <v>278</v>
      </c>
      <c r="I19" s="260" t="s">
        <v>278</v>
      </c>
      <c r="J19" s="260" t="s">
        <v>278</v>
      </c>
      <c r="K19" s="261" t="s">
        <v>278</v>
      </c>
      <c r="N19" s="258"/>
    </row>
    <row r="20" spans="2:14" ht="13.5" hidden="1" x14ac:dyDescent="0.25">
      <c r="B20" s="32">
        <v>2020</v>
      </c>
      <c r="C20" s="198" t="s">
        <v>282</v>
      </c>
      <c r="D20" s="259" t="str" cm="1">
        <f t="array" aca="1" ref="D20" ca="1">IFERROR(_xlfn.XLOOKUP(D$13,INDIRECT("'"&amp;$B20&amp;" EI'!$B$6:$B$53"),_xlfn.XLOOKUP($C$10,INDIRECT("'"&amp;$B20&amp;" EI'!$D$4:$Z$4"),INDIRECT("'"&amp;$B20&amp;" EI'!$D$6:$Z$53")))*_xlfn.XLOOKUP($B20&amp;D$15,'Gas Useage'!$A$4:$A$15&amp;'Gas Useage'!$B$4:$B$15,_xlfn.XLOOKUP($C20&amp;D$14,'Gas Useage'!$C$2:$AB$2&amp;'Gas Useage'!$C$3:$AB$3,'Gas Useage'!$C$4:$AB$15))/_xlfn.XLOOKUP($B20&amp;D$15,'Gas Useage'!$A$4:$A$15&amp;'Gas Useage'!$B$4:$B$15,_xlfn.XLOOKUP(D$14,'Gas Useage'!$AA$3:$AB$3,'Gas Useage'!$AA$4:$AB$15)),"---")</f>
        <v>---</v>
      </c>
      <c r="E20" s="259" cm="1">
        <f t="array" aca="1" ref="E20" ca="1">IFERROR(_xlfn.XLOOKUP(E$13,INDIRECT("'"&amp;$B20&amp;" EI'!$B$6:$B$53"),_xlfn.XLOOKUP($C$10,INDIRECT("'"&amp;$B20&amp;" EI'!$D$4:$Z$4"),INDIRECT("'"&amp;$B20&amp;" EI'!$D$6:$Z$53")))*_xlfn.XLOOKUP($B20&amp;E$15,'Gas Useage'!$A$4:$A$15&amp;'Gas Useage'!$B$4:$B$15,_xlfn.XLOOKUP($C20&amp;E$14,'Gas Useage'!$C$2:$AB$2&amp;'Gas Useage'!$C$3:$AB$3,'Gas Useage'!$C$4:$AB$15))/_xlfn.XLOOKUP($B20&amp;E$15,'Gas Useage'!$A$4:$A$15&amp;'Gas Useage'!$B$4:$B$15,_xlfn.XLOOKUP(E$14,'Gas Useage'!$AA$3:$AB$3,'Gas Useage'!$AA$4:$AB$15)),"---")</f>
        <v>8.3024985214132499E-9</v>
      </c>
      <c r="F20" s="259" t="str" cm="1">
        <f t="array" aca="1" ref="F20" ca="1">IFERROR(_xlfn.XLOOKUP(F$13,INDIRECT("'"&amp;$B20&amp;" EI'!$B$6:$B$53"),_xlfn.XLOOKUP($C$10,INDIRECT("'"&amp;$B20&amp;" EI'!$D$4:$Z$4"),INDIRECT("'"&amp;$B20&amp;" EI'!$D$6:$Z$53")))*_xlfn.XLOOKUP($B20&amp;F$15,'Gas Useage'!$A$4:$A$15&amp;'Gas Useage'!$B$4:$B$15,_xlfn.XLOOKUP($C20&amp;F$14,'Gas Useage'!$C$2:$AB$2&amp;'Gas Useage'!$C$3:$AB$3,'Gas Useage'!$C$4:$AB$15))/_xlfn.XLOOKUP($B20&amp;F$15,'Gas Useage'!$A$4:$A$15&amp;'Gas Useage'!$B$4:$B$15,_xlfn.XLOOKUP(F$14,'Gas Useage'!$AA$3:$AB$3,'Gas Useage'!$AA$4:$AB$15)),"---")</f>
        <v>---</v>
      </c>
      <c r="G20" s="259" cm="1">
        <f t="array" aca="1" ref="G20" ca="1">IFERROR(_xlfn.XLOOKUP(G$13,INDIRECT("'"&amp;$B20&amp;" EI'!$B$6:$B$53"),_xlfn.XLOOKUP($C$10,INDIRECT("'"&amp;$B20&amp;" EI'!$D$4:$Z$4"),INDIRECT("'"&amp;$B20&amp;" EI'!$D$6:$Z$53")))*_xlfn.XLOOKUP($B20&amp;G$15,'Gas Useage'!$A$4:$A$15&amp;'Gas Useage'!$B$4:$B$15,_xlfn.XLOOKUP($C20&amp;G$14,'Gas Useage'!$C$2:$AB$2&amp;'Gas Useage'!$C$3:$AB$3,'Gas Useage'!$C$4:$AB$15))/_xlfn.XLOOKUP($B20&amp;G$15,'Gas Useage'!$A$4:$A$15&amp;'Gas Useage'!$B$4:$B$15,_xlfn.XLOOKUP(G$14,'Gas Useage'!$AA$3:$AB$3,'Gas Useage'!$AA$4:$AB$15)),"---")</f>
        <v>4.0107807793217425E-12</v>
      </c>
      <c r="H20" s="260" t="s">
        <v>278</v>
      </c>
      <c r="I20" s="260" t="s">
        <v>278</v>
      </c>
      <c r="J20" s="260" t="s">
        <v>278</v>
      </c>
      <c r="K20" s="261" t="s">
        <v>278</v>
      </c>
      <c r="N20" s="258"/>
    </row>
    <row r="21" spans="2:14" ht="13.5" hidden="1" x14ac:dyDescent="0.25">
      <c r="B21" s="32">
        <v>2020</v>
      </c>
      <c r="C21" s="198" t="s">
        <v>283</v>
      </c>
      <c r="D21" s="259" t="str" cm="1">
        <f t="array" aca="1" ref="D21" ca="1">IFERROR(_xlfn.XLOOKUP(D$13,INDIRECT("'"&amp;$B21&amp;" EI'!$B$6:$B$53"),_xlfn.XLOOKUP($C$10,INDIRECT("'"&amp;$B21&amp;" EI'!$D$4:$Z$4"),INDIRECT("'"&amp;$B21&amp;" EI'!$D$6:$Z$53")))*_xlfn.XLOOKUP($B21&amp;D$15,'Gas Useage'!$A$4:$A$15&amp;'Gas Useage'!$B$4:$B$15,_xlfn.XLOOKUP($C21&amp;D$14,'Gas Useage'!$C$2:$AB$2&amp;'Gas Useage'!$C$3:$AB$3,'Gas Useage'!$C$4:$AB$15))/_xlfn.XLOOKUP($B21&amp;D$15,'Gas Useage'!$A$4:$A$15&amp;'Gas Useage'!$B$4:$B$15,_xlfn.XLOOKUP(D$14,'Gas Useage'!$AA$3:$AB$3,'Gas Useage'!$AA$4:$AB$15)),"---")</f>
        <v>---</v>
      </c>
      <c r="E21" s="259" cm="1">
        <f t="array" aca="1" ref="E21" ca="1">IFERROR(_xlfn.XLOOKUP(E$13,INDIRECT("'"&amp;$B21&amp;" EI'!$B$6:$B$53"),_xlfn.XLOOKUP($C$10,INDIRECT("'"&amp;$B21&amp;" EI'!$D$4:$Z$4"),INDIRECT("'"&amp;$B21&amp;" EI'!$D$6:$Z$53")))*_xlfn.XLOOKUP($B21&amp;E$15,'Gas Useage'!$A$4:$A$15&amp;'Gas Useage'!$B$4:$B$15,_xlfn.XLOOKUP($C21&amp;E$14,'Gas Useage'!$C$2:$AB$2&amp;'Gas Useage'!$C$3:$AB$3,'Gas Useage'!$C$4:$AB$15))/_xlfn.XLOOKUP($B21&amp;E$15,'Gas Useage'!$A$4:$A$15&amp;'Gas Useage'!$B$4:$B$15,_xlfn.XLOOKUP(E$14,'Gas Useage'!$AA$3:$AB$3,'Gas Useage'!$AA$4:$AB$15)),"---")</f>
        <v>0</v>
      </c>
      <c r="F21" s="259" t="str" cm="1">
        <f t="array" aca="1" ref="F21" ca="1">IFERROR(_xlfn.XLOOKUP(F$13,INDIRECT("'"&amp;$B21&amp;" EI'!$B$6:$B$53"),_xlfn.XLOOKUP($C$10,INDIRECT("'"&amp;$B21&amp;" EI'!$D$4:$Z$4"),INDIRECT("'"&amp;$B21&amp;" EI'!$D$6:$Z$53")))*_xlfn.XLOOKUP($B21&amp;F$15,'Gas Useage'!$A$4:$A$15&amp;'Gas Useage'!$B$4:$B$15,_xlfn.XLOOKUP($C21&amp;F$14,'Gas Useage'!$C$2:$AB$2&amp;'Gas Useage'!$C$3:$AB$3,'Gas Useage'!$C$4:$AB$15))/_xlfn.XLOOKUP($B21&amp;F$15,'Gas Useage'!$A$4:$A$15&amp;'Gas Useage'!$B$4:$B$15,_xlfn.XLOOKUP(F$14,'Gas Useage'!$AA$3:$AB$3,'Gas Useage'!$AA$4:$AB$15)),"---")</f>
        <v>---</v>
      </c>
      <c r="G21" s="259" cm="1">
        <f t="array" aca="1" ref="G21" ca="1">IFERROR(_xlfn.XLOOKUP(G$13,INDIRECT("'"&amp;$B21&amp;" EI'!$B$6:$B$53"),_xlfn.XLOOKUP($C$10,INDIRECT("'"&amp;$B21&amp;" EI'!$D$4:$Z$4"),INDIRECT("'"&amp;$B21&amp;" EI'!$D$6:$Z$53")))*_xlfn.XLOOKUP($B21&amp;G$15,'Gas Useage'!$A$4:$A$15&amp;'Gas Useage'!$B$4:$B$15,_xlfn.XLOOKUP($C21&amp;G$14,'Gas Useage'!$C$2:$AB$2&amp;'Gas Useage'!$C$3:$AB$3,'Gas Useage'!$C$4:$AB$15))/_xlfn.XLOOKUP($B21&amp;G$15,'Gas Useage'!$A$4:$A$15&amp;'Gas Useage'!$B$4:$B$15,_xlfn.XLOOKUP(G$14,'Gas Useage'!$AA$3:$AB$3,'Gas Useage'!$AA$4:$AB$15)),"---")</f>
        <v>0</v>
      </c>
      <c r="H21" s="260" t="s">
        <v>278</v>
      </c>
      <c r="I21" s="260" t="s">
        <v>278</v>
      </c>
      <c r="J21" s="260" t="s">
        <v>278</v>
      </c>
      <c r="K21" s="261" t="s">
        <v>278</v>
      </c>
      <c r="N21" s="258"/>
    </row>
    <row r="22" spans="2:14" ht="13.5" hidden="1" x14ac:dyDescent="0.25">
      <c r="B22" s="32">
        <v>2020</v>
      </c>
      <c r="C22" s="198" t="s">
        <v>284</v>
      </c>
      <c r="D22" s="259" t="str" cm="1">
        <f t="array" aca="1" ref="D22" ca="1">IFERROR(_xlfn.XLOOKUP(D$13,INDIRECT("'"&amp;$B22&amp;" EI'!$B$6:$B$53"),_xlfn.XLOOKUP($C$10,INDIRECT("'"&amp;$B22&amp;" EI'!$D$4:$Z$4"),INDIRECT("'"&amp;$B22&amp;" EI'!$D$6:$Z$53")))*_xlfn.XLOOKUP($B22&amp;D$15,'Gas Useage'!$A$4:$A$15&amp;'Gas Useage'!$B$4:$B$15,_xlfn.XLOOKUP($C22&amp;D$14,'Gas Useage'!$C$2:$AB$2&amp;'Gas Useage'!$C$3:$AB$3,'Gas Useage'!$C$4:$AB$15))/_xlfn.XLOOKUP($B22&amp;D$15,'Gas Useage'!$A$4:$A$15&amp;'Gas Useage'!$B$4:$B$15,_xlfn.XLOOKUP(D$14,'Gas Useage'!$AA$3:$AB$3,'Gas Useage'!$AA$4:$AB$15)),"---")</f>
        <v>---</v>
      </c>
      <c r="E22" s="259" cm="1">
        <f t="array" aca="1" ref="E22" ca="1">IFERROR(_xlfn.XLOOKUP(E$13,INDIRECT("'"&amp;$B22&amp;" EI'!$B$6:$B$53"),_xlfn.XLOOKUP($C$10,INDIRECT("'"&amp;$B22&amp;" EI'!$D$4:$Z$4"),INDIRECT("'"&amp;$B22&amp;" EI'!$D$6:$Z$53")))*_xlfn.XLOOKUP($B22&amp;E$15,'Gas Useage'!$A$4:$A$15&amp;'Gas Useage'!$B$4:$B$15,_xlfn.XLOOKUP($C22&amp;E$14,'Gas Useage'!$C$2:$AB$2&amp;'Gas Useage'!$C$3:$AB$3,'Gas Useage'!$C$4:$AB$15))/_xlfn.XLOOKUP($B22&amp;E$15,'Gas Useage'!$A$4:$A$15&amp;'Gas Useage'!$B$4:$B$15,_xlfn.XLOOKUP(E$14,'Gas Useage'!$AA$3:$AB$3,'Gas Useage'!$AA$4:$AB$15)),"---")</f>
        <v>5.3245996163894544E-7</v>
      </c>
      <c r="F22" s="259" t="str" cm="1">
        <f t="array" aca="1" ref="F22" ca="1">IFERROR(_xlfn.XLOOKUP(F$13,INDIRECT("'"&amp;$B22&amp;" EI'!$B$6:$B$53"),_xlfn.XLOOKUP($C$10,INDIRECT("'"&amp;$B22&amp;" EI'!$D$4:$Z$4"),INDIRECT("'"&amp;$B22&amp;" EI'!$D$6:$Z$53")))*_xlfn.XLOOKUP($B22&amp;F$15,'Gas Useage'!$A$4:$A$15&amp;'Gas Useage'!$B$4:$B$15,_xlfn.XLOOKUP($C22&amp;F$14,'Gas Useage'!$C$2:$AB$2&amp;'Gas Useage'!$C$3:$AB$3,'Gas Useage'!$C$4:$AB$15))/_xlfn.XLOOKUP($B22&amp;F$15,'Gas Useage'!$A$4:$A$15&amp;'Gas Useage'!$B$4:$B$15,_xlfn.XLOOKUP(F$14,'Gas Useage'!$AA$3:$AB$3,'Gas Useage'!$AA$4:$AB$15)),"---")</f>
        <v>---</v>
      </c>
      <c r="G22" s="259" cm="1">
        <f t="array" aca="1" ref="G22" ca="1">IFERROR(_xlfn.XLOOKUP(G$13,INDIRECT("'"&amp;$B22&amp;" EI'!$B$6:$B$53"),_xlfn.XLOOKUP($C$10,INDIRECT("'"&amp;$B22&amp;" EI'!$D$4:$Z$4"),INDIRECT("'"&amp;$B22&amp;" EI'!$D$6:$Z$53")))*_xlfn.XLOOKUP($B22&amp;G$15,'Gas Useage'!$A$4:$A$15&amp;'Gas Useage'!$B$4:$B$15,_xlfn.XLOOKUP($C22&amp;G$14,'Gas Useage'!$C$2:$AB$2&amp;'Gas Useage'!$C$3:$AB$3,'Gas Useage'!$C$4:$AB$15))/_xlfn.XLOOKUP($B22&amp;G$15,'Gas Useage'!$A$4:$A$15&amp;'Gas Useage'!$B$4:$B$15,_xlfn.XLOOKUP(G$14,'Gas Useage'!$AA$3:$AB$3,'Gas Useage'!$AA$4:$AB$15)),"---")</f>
        <v>3.3468089720223986E-7</v>
      </c>
      <c r="H22" s="260" t="s">
        <v>278</v>
      </c>
      <c r="I22" s="260" t="s">
        <v>278</v>
      </c>
      <c r="J22" s="260" t="s">
        <v>278</v>
      </c>
      <c r="K22" s="261" t="s">
        <v>278</v>
      </c>
      <c r="N22" s="258"/>
    </row>
    <row r="23" spans="2:14" ht="13.5" hidden="1" x14ac:dyDescent="0.25">
      <c r="B23" s="32">
        <v>2020</v>
      </c>
      <c r="C23" s="198" t="s">
        <v>285</v>
      </c>
      <c r="D23" s="259" t="str" cm="1">
        <f t="array" aca="1" ref="D23" ca="1">IFERROR(_xlfn.XLOOKUP(D$13,INDIRECT("'"&amp;$B23&amp;" EI'!$B$6:$B$53"),_xlfn.XLOOKUP($C$10,INDIRECT("'"&amp;$B23&amp;" EI'!$D$4:$Z$4"),INDIRECT("'"&amp;$B23&amp;" EI'!$D$6:$Z$53")))*_xlfn.XLOOKUP($B23&amp;D$15,'Gas Useage'!$A$4:$A$15&amp;'Gas Useage'!$B$4:$B$15,_xlfn.XLOOKUP($C23&amp;D$14,'Gas Useage'!$C$2:$AB$2&amp;'Gas Useage'!$C$3:$AB$3,'Gas Useage'!$C$4:$AB$15))/_xlfn.XLOOKUP($B23&amp;D$15,'Gas Useage'!$A$4:$A$15&amp;'Gas Useage'!$B$4:$B$15,_xlfn.XLOOKUP(D$14,'Gas Useage'!$AA$3:$AB$3,'Gas Useage'!$AA$4:$AB$15)),"---")</f>
        <v>---</v>
      </c>
      <c r="E23" s="259" cm="1">
        <f t="array" aca="1" ref="E23" ca="1">IFERROR(_xlfn.XLOOKUP(E$13,INDIRECT("'"&amp;$B23&amp;" EI'!$B$6:$B$53"),_xlfn.XLOOKUP($C$10,INDIRECT("'"&amp;$B23&amp;" EI'!$D$4:$Z$4"),INDIRECT("'"&amp;$B23&amp;" EI'!$D$6:$Z$53")))*_xlfn.XLOOKUP($B23&amp;E$15,'Gas Useage'!$A$4:$A$15&amp;'Gas Useage'!$B$4:$B$15,_xlfn.XLOOKUP($C23&amp;E$14,'Gas Useage'!$C$2:$AB$2&amp;'Gas Useage'!$C$3:$AB$3,'Gas Useage'!$C$4:$AB$15))/_xlfn.XLOOKUP($B23&amp;E$15,'Gas Useage'!$A$4:$A$15&amp;'Gas Useage'!$B$4:$B$15,_xlfn.XLOOKUP(E$14,'Gas Useage'!$AA$3:$AB$3,'Gas Useage'!$AA$4:$AB$15)),"---")</f>
        <v>4.0720899276663422E-7</v>
      </c>
      <c r="F23" s="259" t="str" cm="1">
        <f t="array" aca="1" ref="F23" ca="1">IFERROR(_xlfn.XLOOKUP(F$13,INDIRECT("'"&amp;$B23&amp;" EI'!$B$6:$B$53"),_xlfn.XLOOKUP($C$10,INDIRECT("'"&amp;$B23&amp;" EI'!$D$4:$Z$4"),INDIRECT("'"&amp;$B23&amp;" EI'!$D$6:$Z$53")))*_xlfn.XLOOKUP($B23&amp;F$15,'Gas Useage'!$A$4:$A$15&amp;'Gas Useage'!$B$4:$B$15,_xlfn.XLOOKUP($C23&amp;F$14,'Gas Useage'!$C$2:$AB$2&amp;'Gas Useage'!$C$3:$AB$3,'Gas Useage'!$C$4:$AB$15))/_xlfn.XLOOKUP($B23&amp;F$15,'Gas Useage'!$A$4:$A$15&amp;'Gas Useage'!$B$4:$B$15,_xlfn.XLOOKUP(F$14,'Gas Useage'!$AA$3:$AB$3,'Gas Useage'!$AA$4:$AB$15)),"---")</f>
        <v>---</v>
      </c>
      <c r="G23" s="259" cm="1">
        <f t="array" aca="1" ref="G23" ca="1">IFERROR(_xlfn.XLOOKUP(G$13,INDIRECT("'"&amp;$B23&amp;" EI'!$B$6:$B$53"),_xlfn.XLOOKUP($C$10,INDIRECT("'"&amp;$B23&amp;" EI'!$D$4:$Z$4"),INDIRECT("'"&amp;$B23&amp;" EI'!$D$6:$Z$53")))*_xlfn.XLOOKUP($B23&amp;G$15,'Gas Useage'!$A$4:$A$15&amp;'Gas Useage'!$B$4:$B$15,_xlfn.XLOOKUP($C23&amp;G$14,'Gas Useage'!$C$2:$AB$2&amp;'Gas Useage'!$C$3:$AB$3,'Gas Useage'!$C$4:$AB$15))/_xlfn.XLOOKUP($B23&amp;G$15,'Gas Useage'!$A$4:$A$15&amp;'Gas Useage'!$B$4:$B$15,_xlfn.XLOOKUP(G$14,'Gas Useage'!$AA$3:$AB$3,'Gas Useage'!$AA$4:$AB$15)),"---")</f>
        <v>4.717709145604582E-8</v>
      </c>
      <c r="H23" s="260" t="s">
        <v>278</v>
      </c>
      <c r="I23" s="260" t="s">
        <v>278</v>
      </c>
      <c r="J23" s="260" t="s">
        <v>278</v>
      </c>
      <c r="K23" s="261" t="s">
        <v>278</v>
      </c>
      <c r="N23" s="258"/>
    </row>
    <row r="24" spans="2:14" ht="13.5" hidden="1" x14ac:dyDescent="0.25">
      <c r="B24" s="32">
        <v>2020</v>
      </c>
      <c r="C24" s="198" t="s">
        <v>286</v>
      </c>
      <c r="D24" s="259" t="str" cm="1">
        <f t="array" aca="1" ref="D24" ca="1">IFERROR(_xlfn.XLOOKUP(D$13,INDIRECT("'"&amp;$B24&amp;" EI'!$B$6:$B$53"),_xlfn.XLOOKUP($C$10,INDIRECT("'"&amp;$B24&amp;" EI'!$D$4:$Z$4"),INDIRECT("'"&amp;$B24&amp;" EI'!$D$6:$Z$53")))*_xlfn.XLOOKUP($B24&amp;D$15,'Gas Useage'!$A$4:$A$15&amp;'Gas Useage'!$B$4:$B$15,_xlfn.XLOOKUP($C24&amp;D$14,'Gas Useage'!$C$2:$AB$2&amp;'Gas Useage'!$C$3:$AB$3,'Gas Useage'!$C$4:$AB$15))/_xlfn.XLOOKUP($B24&amp;D$15,'Gas Useage'!$A$4:$A$15&amp;'Gas Useage'!$B$4:$B$15,_xlfn.XLOOKUP(D$14,'Gas Useage'!$AA$3:$AB$3,'Gas Useage'!$AA$4:$AB$15)),"---")</f>
        <v>---</v>
      </c>
      <c r="E24" s="259" cm="1">
        <f t="array" aca="1" ref="E24" ca="1">IFERROR(_xlfn.XLOOKUP(E$13,INDIRECT("'"&amp;$B24&amp;" EI'!$B$6:$B$53"),_xlfn.XLOOKUP($C$10,INDIRECT("'"&amp;$B24&amp;" EI'!$D$4:$Z$4"),INDIRECT("'"&amp;$B24&amp;" EI'!$D$6:$Z$53")))*_xlfn.XLOOKUP($B24&amp;E$15,'Gas Useage'!$A$4:$A$15&amp;'Gas Useage'!$B$4:$B$15,_xlfn.XLOOKUP($C24&amp;E$14,'Gas Useage'!$C$2:$AB$2&amp;'Gas Useage'!$C$3:$AB$3,'Gas Useage'!$C$4:$AB$15))/_xlfn.XLOOKUP($B24&amp;E$15,'Gas Useage'!$A$4:$A$15&amp;'Gas Useage'!$B$4:$B$15,_xlfn.XLOOKUP(E$14,'Gas Useage'!$AA$3:$AB$3,'Gas Useage'!$AA$4:$AB$15)),"---")</f>
        <v>1.8236009229514711E-7</v>
      </c>
      <c r="F24" s="259" t="str" cm="1">
        <f t="array" aca="1" ref="F24" ca="1">IFERROR(_xlfn.XLOOKUP(F$13,INDIRECT("'"&amp;$B24&amp;" EI'!$B$6:$B$53"),_xlfn.XLOOKUP($C$10,INDIRECT("'"&amp;$B24&amp;" EI'!$D$4:$Z$4"),INDIRECT("'"&amp;$B24&amp;" EI'!$D$6:$Z$53")))*_xlfn.XLOOKUP($B24&amp;F$15,'Gas Useage'!$A$4:$A$15&amp;'Gas Useage'!$B$4:$B$15,_xlfn.XLOOKUP($C24&amp;F$14,'Gas Useage'!$C$2:$AB$2&amp;'Gas Useage'!$C$3:$AB$3,'Gas Useage'!$C$4:$AB$15))/_xlfn.XLOOKUP($B24&amp;F$15,'Gas Useage'!$A$4:$A$15&amp;'Gas Useage'!$B$4:$B$15,_xlfn.XLOOKUP(F$14,'Gas Useage'!$AA$3:$AB$3,'Gas Useage'!$AA$4:$AB$15)),"---")</f>
        <v>---</v>
      </c>
      <c r="G24" s="259" cm="1">
        <f t="array" aca="1" ref="G24" ca="1">IFERROR(_xlfn.XLOOKUP(G$13,INDIRECT("'"&amp;$B24&amp;" EI'!$B$6:$B$53"),_xlfn.XLOOKUP($C$10,INDIRECT("'"&amp;$B24&amp;" EI'!$D$4:$Z$4"),INDIRECT("'"&amp;$B24&amp;" EI'!$D$6:$Z$53")))*_xlfn.XLOOKUP($B24&amp;G$15,'Gas Useage'!$A$4:$A$15&amp;'Gas Useage'!$B$4:$B$15,_xlfn.XLOOKUP($C24&amp;G$14,'Gas Useage'!$C$2:$AB$2&amp;'Gas Useage'!$C$3:$AB$3,'Gas Useage'!$C$4:$AB$15))/_xlfn.XLOOKUP($B24&amp;G$15,'Gas Useage'!$A$4:$A$15&amp;'Gas Useage'!$B$4:$B$15,_xlfn.XLOOKUP(G$14,'Gas Useage'!$AA$3:$AB$3,'Gas Useage'!$AA$4:$AB$15)),"---")</f>
        <v>1.2484254499051023E-9</v>
      </c>
      <c r="H24" s="260" t="s">
        <v>278</v>
      </c>
      <c r="I24" s="260" t="s">
        <v>278</v>
      </c>
      <c r="J24" s="260" t="s">
        <v>278</v>
      </c>
      <c r="K24" s="261" t="s">
        <v>278</v>
      </c>
      <c r="N24" s="258"/>
    </row>
    <row r="25" spans="2:14" ht="13.5" x14ac:dyDescent="0.25">
      <c r="B25" s="32">
        <v>2020</v>
      </c>
      <c r="C25" s="494" t="s">
        <v>287</v>
      </c>
      <c r="D25" s="259" t="str" cm="1">
        <f t="array" aca="1" ref="D25" ca="1">IFERROR(_xlfn.XLOOKUP(D$13,INDIRECT("'"&amp;$B25&amp;" EI'!$B$6:$B$53"),_xlfn.XLOOKUP($C$10,INDIRECT("'"&amp;$B25&amp;" EI'!$D$4:$Z$4"),INDIRECT("'"&amp;$B25&amp;" EI'!$D$6:$Z$53")))*_xlfn.XLOOKUP($B25&amp;D$15,'Gas Useage'!$A$4:$A$15&amp;'Gas Useage'!$B$4:$B$15,_xlfn.XLOOKUP($C25&amp;D$14,'Gas Useage'!$C$2:$AB$2&amp;'Gas Useage'!$C$3:$AB$3,'Gas Useage'!$C$4:$AB$15))/_xlfn.XLOOKUP($B25&amp;D$15,'Gas Useage'!$A$4:$A$15&amp;'Gas Useage'!$B$4:$B$15,_xlfn.XLOOKUP(D$14,'Gas Useage'!$AA$3:$AB$3,'Gas Useage'!$AA$4:$AB$15)),"---")</f>
        <v>---</v>
      </c>
      <c r="E25" s="259" cm="1">
        <f t="array" aca="1" ref="E25" ca="1">IFERROR(_xlfn.XLOOKUP(E$13,INDIRECT("'"&amp;$B25&amp;" EI'!$B$6:$B$53"),_xlfn.XLOOKUP($C$10,INDIRECT("'"&amp;$B25&amp;" EI'!$D$4:$Z$4"),INDIRECT("'"&amp;$B25&amp;" EI'!$D$6:$Z$53")))*_xlfn.XLOOKUP($B25&amp;E$15,'Gas Useage'!$A$4:$A$15&amp;'Gas Useage'!$B$4:$B$15,_xlfn.XLOOKUP($C25&amp;E$14,'Gas Useage'!$C$2:$AB$2&amp;'Gas Useage'!$C$3:$AB$3,'Gas Useage'!$C$4:$AB$15))/_xlfn.XLOOKUP($B25&amp;E$15,'Gas Useage'!$A$4:$A$15&amp;'Gas Useage'!$B$4:$B$15,_xlfn.XLOOKUP(E$14,'Gas Useage'!$AA$3:$AB$3,'Gas Useage'!$AA$4:$AB$15)),"---")</f>
        <v>1.4810372566700702E-7</v>
      </c>
      <c r="F25" s="259" t="str" cm="1">
        <f t="array" aca="1" ref="F25" ca="1">IFERROR(_xlfn.XLOOKUP(F$13,INDIRECT("'"&amp;$B25&amp;" EI'!$B$6:$B$53"),_xlfn.XLOOKUP($C$10,INDIRECT("'"&amp;$B25&amp;" EI'!$D$4:$Z$4"),INDIRECT("'"&amp;$B25&amp;" EI'!$D$6:$Z$53")))*_xlfn.XLOOKUP($B25&amp;F$15,'Gas Useage'!$A$4:$A$15&amp;'Gas Useage'!$B$4:$B$15,_xlfn.XLOOKUP($C25&amp;F$14,'Gas Useage'!$C$2:$AB$2&amp;'Gas Useage'!$C$3:$AB$3,'Gas Useage'!$C$4:$AB$15))/_xlfn.XLOOKUP($B25&amp;F$15,'Gas Useage'!$A$4:$A$15&amp;'Gas Useage'!$B$4:$B$15,_xlfn.XLOOKUP(F$14,'Gas Useage'!$AA$3:$AB$3,'Gas Useage'!$AA$4:$AB$15)),"---")</f>
        <v>---</v>
      </c>
      <c r="G25" s="259" cm="1">
        <f t="array" aca="1" ref="G25" ca="1">IFERROR(_xlfn.XLOOKUP(G$13,INDIRECT("'"&amp;$B25&amp;" EI'!$B$6:$B$53"),_xlfn.XLOOKUP($C$10,INDIRECT("'"&amp;$B25&amp;" EI'!$D$4:$Z$4"),INDIRECT("'"&amp;$B25&amp;" EI'!$D$6:$Z$53")))*_xlfn.XLOOKUP($B25&amp;G$15,'Gas Useage'!$A$4:$A$15&amp;'Gas Useage'!$B$4:$B$15,_xlfn.XLOOKUP($C25&amp;G$14,'Gas Useage'!$C$2:$AB$2&amp;'Gas Useage'!$C$3:$AB$3,'Gas Useage'!$C$4:$AB$15))/_xlfn.XLOOKUP($B25&amp;G$15,'Gas Useage'!$A$4:$A$15&amp;'Gas Useage'!$B$4:$B$15,_xlfn.XLOOKUP(G$14,'Gas Useage'!$AA$3:$AB$3,'Gas Useage'!$AA$4:$AB$15)),"---")</f>
        <v>3.4251323662714081E-7</v>
      </c>
      <c r="H25" s="260" t="s">
        <v>278</v>
      </c>
      <c r="I25" s="260" t="s">
        <v>278</v>
      </c>
      <c r="J25" s="260" t="s">
        <v>278</v>
      </c>
      <c r="K25" s="261" t="s">
        <v>278</v>
      </c>
      <c r="N25" s="258"/>
    </row>
    <row r="26" spans="2:14" ht="13.5" x14ac:dyDescent="0.25">
      <c r="B26" s="32">
        <v>2020</v>
      </c>
      <c r="C26" s="494" t="s">
        <v>288</v>
      </c>
      <c r="D26" s="259" t="str" cm="1">
        <f t="array" aca="1" ref="D26" ca="1">IFERROR(_xlfn.XLOOKUP(D$13,INDIRECT("'"&amp;$B26&amp;" EI'!$B$6:$B$53"),_xlfn.XLOOKUP($C$10,INDIRECT("'"&amp;$B26&amp;" EI'!$D$4:$Z$4"),INDIRECT("'"&amp;$B26&amp;" EI'!$D$6:$Z$53")))*_xlfn.XLOOKUP($B26&amp;D$15,'Gas Useage'!$A$4:$A$15&amp;'Gas Useage'!$B$4:$B$15,_xlfn.XLOOKUP($C26&amp;D$14,'Gas Useage'!$C$2:$AB$2&amp;'Gas Useage'!$C$3:$AB$3,'Gas Useage'!$C$4:$AB$15))/_xlfn.XLOOKUP($B26&amp;D$15,'Gas Useage'!$A$4:$A$15&amp;'Gas Useage'!$B$4:$B$15,_xlfn.XLOOKUP(D$14,'Gas Useage'!$AA$3:$AB$3,'Gas Useage'!$AA$4:$AB$15)),"---")</f>
        <v>---</v>
      </c>
      <c r="E26" s="259" cm="1">
        <f t="array" aca="1" ref="E26" ca="1">IFERROR(_xlfn.XLOOKUP(E$13,INDIRECT("'"&amp;$B26&amp;" EI'!$B$6:$B$53"),_xlfn.XLOOKUP($C$10,INDIRECT("'"&amp;$B26&amp;" EI'!$D$4:$Z$4"),INDIRECT("'"&amp;$B26&amp;" EI'!$D$6:$Z$53")))*_xlfn.XLOOKUP($B26&amp;E$15,'Gas Useage'!$A$4:$A$15&amp;'Gas Useage'!$B$4:$B$15,_xlfn.XLOOKUP($C26&amp;E$14,'Gas Useage'!$C$2:$AB$2&amp;'Gas Useage'!$C$3:$AB$3,'Gas Useage'!$C$4:$AB$15))/_xlfn.XLOOKUP($B26&amp;E$15,'Gas Useage'!$A$4:$A$15&amp;'Gas Useage'!$B$4:$B$15,_xlfn.XLOOKUP(E$14,'Gas Useage'!$AA$3:$AB$3,'Gas Useage'!$AA$4:$AB$15)),"---")</f>
        <v>4.3142218822388397E-7</v>
      </c>
      <c r="F26" s="259" t="str" cm="1">
        <f t="array" aca="1" ref="F26" ca="1">IFERROR(_xlfn.XLOOKUP(F$13,INDIRECT("'"&amp;$B26&amp;" EI'!$B$6:$B$53"),_xlfn.XLOOKUP($C$10,INDIRECT("'"&amp;$B26&amp;" EI'!$D$4:$Z$4"),INDIRECT("'"&amp;$B26&amp;" EI'!$D$6:$Z$53")))*_xlfn.XLOOKUP($B26&amp;F$15,'Gas Useage'!$A$4:$A$15&amp;'Gas Useage'!$B$4:$B$15,_xlfn.XLOOKUP($C26&amp;F$14,'Gas Useage'!$C$2:$AB$2&amp;'Gas Useage'!$C$3:$AB$3,'Gas Useage'!$C$4:$AB$15))/_xlfn.XLOOKUP($B26&amp;F$15,'Gas Useage'!$A$4:$A$15&amp;'Gas Useage'!$B$4:$B$15,_xlfn.XLOOKUP(F$14,'Gas Useage'!$AA$3:$AB$3,'Gas Useage'!$AA$4:$AB$15)),"---")</f>
        <v>---</v>
      </c>
      <c r="G26" s="259" cm="1">
        <f t="array" aca="1" ref="G26" ca="1">IFERROR(_xlfn.XLOOKUP(G$13,INDIRECT("'"&amp;$B26&amp;" EI'!$B$6:$B$53"),_xlfn.XLOOKUP($C$10,INDIRECT("'"&amp;$B26&amp;" EI'!$D$4:$Z$4"),INDIRECT("'"&amp;$B26&amp;" EI'!$D$6:$Z$53")))*_xlfn.XLOOKUP($B26&amp;G$15,'Gas Useage'!$A$4:$A$15&amp;'Gas Useage'!$B$4:$B$15,_xlfn.XLOOKUP($C26&amp;G$14,'Gas Useage'!$C$2:$AB$2&amp;'Gas Useage'!$C$3:$AB$3,'Gas Useage'!$C$4:$AB$15))/_xlfn.XLOOKUP($B26&amp;G$15,'Gas Useage'!$A$4:$A$15&amp;'Gas Useage'!$B$4:$B$15,_xlfn.XLOOKUP(G$14,'Gas Useage'!$AA$3:$AB$3,'Gas Useage'!$AA$4:$AB$15)),"---")</f>
        <v>6.5304750607787641E-7</v>
      </c>
      <c r="H26" s="260" t="s">
        <v>278</v>
      </c>
      <c r="I26" s="260" t="s">
        <v>278</v>
      </c>
      <c r="J26" s="260" t="s">
        <v>278</v>
      </c>
      <c r="K26" s="261" t="s">
        <v>278</v>
      </c>
      <c r="N26" s="258"/>
    </row>
    <row r="27" spans="2:14" ht="13.5" x14ac:dyDescent="0.25">
      <c r="B27" s="32">
        <v>2020</v>
      </c>
      <c r="C27" s="494" t="s">
        <v>289</v>
      </c>
      <c r="D27" s="259" t="str" cm="1">
        <f t="array" aca="1" ref="D27" ca="1">IFERROR(_xlfn.XLOOKUP(D$13,INDIRECT("'"&amp;$B27&amp;" EI'!$B$6:$B$53"),_xlfn.XLOOKUP($C$10,INDIRECT("'"&amp;$B27&amp;" EI'!$D$4:$Z$4"),INDIRECT("'"&amp;$B27&amp;" EI'!$D$6:$Z$53")))*_xlfn.XLOOKUP($B27&amp;D$15,'Gas Useage'!$A$4:$A$15&amp;'Gas Useage'!$B$4:$B$15,_xlfn.XLOOKUP($C27&amp;D$14,'Gas Useage'!$C$2:$AB$2&amp;'Gas Useage'!$C$3:$AB$3,'Gas Useage'!$C$4:$AB$15))/_xlfn.XLOOKUP($B27&amp;D$15,'Gas Useage'!$A$4:$A$15&amp;'Gas Useage'!$B$4:$B$15,_xlfn.XLOOKUP(D$14,'Gas Useage'!$AA$3:$AB$3,'Gas Useage'!$AA$4:$AB$15)),"---")</f>
        <v>---</v>
      </c>
      <c r="E27" s="259" cm="1">
        <f t="array" aca="1" ref="E27" ca="1">IFERROR(_xlfn.XLOOKUP(E$13,INDIRECT("'"&amp;$B27&amp;" EI'!$B$6:$B$53"),_xlfn.XLOOKUP($C$10,INDIRECT("'"&amp;$B27&amp;" EI'!$D$4:$Z$4"),INDIRECT("'"&amp;$B27&amp;" EI'!$D$6:$Z$53")))*_xlfn.XLOOKUP($B27&amp;E$15,'Gas Useage'!$A$4:$A$15&amp;'Gas Useage'!$B$4:$B$15,_xlfn.XLOOKUP($C27&amp;E$14,'Gas Useage'!$C$2:$AB$2&amp;'Gas Useage'!$C$3:$AB$3,'Gas Useage'!$C$4:$AB$15))/_xlfn.XLOOKUP($B27&amp;E$15,'Gas Useage'!$A$4:$A$15&amp;'Gas Useage'!$B$4:$B$15,_xlfn.XLOOKUP(E$14,'Gas Useage'!$AA$3:$AB$3,'Gas Useage'!$AA$4:$AB$15)),"---")</f>
        <v>4.3142218822388397E-7</v>
      </c>
      <c r="F27" s="259" t="str" cm="1">
        <f t="array" aca="1" ref="F27" ca="1">IFERROR(_xlfn.XLOOKUP(F$13,INDIRECT("'"&amp;$B27&amp;" EI'!$B$6:$B$53"),_xlfn.XLOOKUP($C$10,INDIRECT("'"&amp;$B27&amp;" EI'!$D$4:$Z$4"),INDIRECT("'"&amp;$B27&amp;" EI'!$D$6:$Z$53")))*_xlfn.XLOOKUP($B27&amp;F$15,'Gas Useage'!$A$4:$A$15&amp;'Gas Useage'!$B$4:$B$15,_xlfn.XLOOKUP($C27&amp;F$14,'Gas Useage'!$C$2:$AB$2&amp;'Gas Useage'!$C$3:$AB$3,'Gas Useage'!$C$4:$AB$15))/_xlfn.XLOOKUP($B27&amp;F$15,'Gas Useage'!$A$4:$A$15&amp;'Gas Useage'!$B$4:$B$15,_xlfn.XLOOKUP(F$14,'Gas Useage'!$AA$3:$AB$3,'Gas Useage'!$AA$4:$AB$15)),"---")</f>
        <v>---</v>
      </c>
      <c r="G27" s="259" cm="1">
        <f t="array" aca="1" ref="G27" ca="1">IFERROR(_xlfn.XLOOKUP(G$13,INDIRECT("'"&amp;$B27&amp;" EI'!$B$6:$B$53"),_xlfn.XLOOKUP($C$10,INDIRECT("'"&amp;$B27&amp;" EI'!$D$4:$Z$4"),INDIRECT("'"&amp;$B27&amp;" EI'!$D$6:$Z$53")))*_xlfn.XLOOKUP($B27&amp;G$15,'Gas Useage'!$A$4:$A$15&amp;'Gas Useage'!$B$4:$B$15,_xlfn.XLOOKUP($C27&amp;G$14,'Gas Useage'!$C$2:$AB$2&amp;'Gas Useage'!$C$3:$AB$3,'Gas Useage'!$C$4:$AB$15))/_xlfn.XLOOKUP($B27&amp;G$15,'Gas Useage'!$A$4:$A$15&amp;'Gas Useage'!$B$4:$B$15,_xlfn.XLOOKUP(G$14,'Gas Useage'!$AA$3:$AB$3,'Gas Useage'!$AA$4:$AB$15)),"---")</f>
        <v>6.5304750607787641E-7</v>
      </c>
      <c r="H27" s="260" t="s">
        <v>278</v>
      </c>
      <c r="I27" s="260" t="s">
        <v>278</v>
      </c>
      <c r="J27" s="260" t="s">
        <v>278</v>
      </c>
      <c r="K27" s="261" t="s">
        <v>278</v>
      </c>
      <c r="N27" s="258"/>
    </row>
    <row r="28" spans="2:14" ht="13.5" x14ac:dyDescent="0.25">
      <c r="B28" s="32">
        <v>2021</v>
      </c>
      <c r="C28" s="494" t="s">
        <v>277</v>
      </c>
      <c r="D28" s="259" t="str" cm="1">
        <f t="array" aca="1" ref="D28" ca="1">IFERROR(_xlfn.XLOOKUP(D$13,INDIRECT("'"&amp;$B28&amp;" EI'!$B$6:$B$53"),_xlfn.XLOOKUP($C$10,INDIRECT("'"&amp;$B28&amp;" EI'!$D$4:$Z$4"),INDIRECT("'"&amp;$B28&amp;" EI'!$D$6:$Z$53")))*_xlfn.XLOOKUP($B28&amp;D$15,'Gas Useage'!$A$4:$A$15&amp;'Gas Useage'!$B$4:$B$15,_xlfn.XLOOKUP($C28&amp;D$14,'Gas Useage'!$C$2:$AB$2&amp;'Gas Useage'!$C$3:$AB$3,'Gas Useage'!$C$4:$AB$15))/_xlfn.XLOOKUP($B28&amp;D$15,'Gas Useage'!$A$4:$A$15&amp;'Gas Useage'!$B$4:$B$15,_xlfn.XLOOKUP(D$14,'Gas Useage'!$AA$3:$AB$3,'Gas Useage'!$AA$4:$AB$15)),"---")</f>
        <v>---</v>
      </c>
      <c r="E28" s="259" cm="1">
        <f t="array" aca="1" ref="E28" ca="1">IFERROR(_xlfn.XLOOKUP(E$13,INDIRECT("'"&amp;$B28&amp;" EI'!$B$6:$B$53"),_xlfn.XLOOKUP($C$10,INDIRECT("'"&amp;$B28&amp;" EI'!$D$4:$Z$4"),INDIRECT("'"&amp;$B28&amp;" EI'!$D$6:$Z$53")))*_xlfn.XLOOKUP($B28&amp;E$15,'Gas Useage'!$A$4:$A$15&amp;'Gas Useage'!$B$4:$B$15,_xlfn.XLOOKUP($C28&amp;E$14,'Gas Useage'!$C$2:$AB$2&amp;'Gas Useage'!$C$3:$AB$3,'Gas Useage'!$C$4:$AB$15))/_xlfn.XLOOKUP($B28&amp;E$15,'Gas Useage'!$A$4:$A$15&amp;'Gas Useage'!$B$4:$B$15,_xlfn.XLOOKUP(E$14,'Gas Useage'!$AA$3:$AB$3,'Gas Useage'!$AA$4:$AB$15)),"---")</f>
        <v>2.0524199416007545E-7</v>
      </c>
      <c r="F28" s="259" t="str" cm="1">
        <f t="array" aca="1" ref="F28" ca="1">IFERROR(_xlfn.XLOOKUP(F$13,INDIRECT("'"&amp;$B28&amp;" EI'!$B$6:$B$53"),_xlfn.XLOOKUP($C$10,INDIRECT("'"&amp;$B28&amp;" EI'!$D$4:$Z$4"),INDIRECT("'"&amp;$B28&amp;" EI'!$D$6:$Z$53")))*_xlfn.XLOOKUP($B28&amp;F$15,'Gas Useage'!$A$4:$A$15&amp;'Gas Useage'!$B$4:$B$15,_xlfn.XLOOKUP($C28&amp;F$14,'Gas Useage'!$C$2:$AB$2&amp;'Gas Useage'!$C$3:$AB$3,'Gas Useage'!$C$4:$AB$15))/_xlfn.XLOOKUP($B28&amp;F$15,'Gas Useage'!$A$4:$A$15&amp;'Gas Useage'!$B$4:$B$15,_xlfn.XLOOKUP(F$14,'Gas Useage'!$AA$3:$AB$3,'Gas Useage'!$AA$4:$AB$15)),"---")</f>
        <v>---</v>
      </c>
      <c r="G28" s="259" cm="1">
        <f t="array" aca="1" ref="G28" ca="1">IFERROR(_xlfn.XLOOKUP(G$13,INDIRECT("'"&amp;$B28&amp;" EI'!$B$6:$B$53"),_xlfn.XLOOKUP($C$10,INDIRECT("'"&amp;$B28&amp;" EI'!$D$4:$Z$4"),INDIRECT("'"&amp;$B28&amp;" EI'!$D$6:$Z$53")))*_xlfn.XLOOKUP($B28&amp;G$15,'Gas Useage'!$A$4:$A$15&amp;'Gas Useage'!$B$4:$B$15,_xlfn.XLOOKUP($C28&amp;G$14,'Gas Useage'!$C$2:$AB$2&amp;'Gas Useage'!$C$3:$AB$3,'Gas Useage'!$C$4:$AB$15))/_xlfn.XLOOKUP($B28&amp;G$15,'Gas Useage'!$A$4:$A$15&amp;'Gas Useage'!$B$4:$B$15,_xlfn.XLOOKUP(G$14,'Gas Useage'!$AA$3:$AB$3,'Gas Useage'!$AA$4:$AB$15)),"---")</f>
        <v>2.5425328324063384E-7</v>
      </c>
      <c r="H28" s="260" t="s">
        <v>278</v>
      </c>
      <c r="I28" s="260" t="s">
        <v>278</v>
      </c>
      <c r="J28" s="260" t="s">
        <v>278</v>
      </c>
      <c r="K28" s="261" t="s">
        <v>278</v>
      </c>
      <c r="N28" s="258"/>
    </row>
    <row r="29" spans="2:14" ht="13.5" x14ac:dyDescent="0.25">
      <c r="B29" s="32">
        <v>2021</v>
      </c>
      <c r="C29" s="494" t="s">
        <v>279</v>
      </c>
      <c r="D29" s="259" t="str" cm="1">
        <f t="array" aca="1" ref="D29" ca="1">IFERROR(_xlfn.XLOOKUP(D$13,INDIRECT("'"&amp;$B29&amp;" EI'!$B$6:$B$53"),_xlfn.XLOOKUP($C$10,INDIRECT("'"&amp;$B29&amp;" EI'!$D$4:$Z$4"),INDIRECT("'"&amp;$B29&amp;" EI'!$D$6:$Z$53")))*_xlfn.XLOOKUP($B29&amp;D$15,'Gas Useage'!$A$4:$A$15&amp;'Gas Useage'!$B$4:$B$15,_xlfn.XLOOKUP($C29&amp;D$14,'Gas Useage'!$C$2:$AB$2&amp;'Gas Useage'!$C$3:$AB$3,'Gas Useage'!$C$4:$AB$15))/_xlfn.XLOOKUP($B29&amp;D$15,'Gas Useage'!$A$4:$A$15&amp;'Gas Useage'!$B$4:$B$15,_xlfn.XLOOKUP(D$14,'Gas Useage'!$AA$3:$AB$3,'Gas Useage'!$AA$4:$AB$15)),"---")</f>
        <v>---</v>
      </c>
      <c r="E29" s="259" cm="1">
        <f t="array" aca="1" ref="E29" ca="1">IFERROR(_xlfn.XLOOKUP(E$13,INDIRECT("'"&amp;$B29&amp;" EI'!$B$6:$B$53"),_xlfn.XLOOKUP($C$10,INDIRECT("'"&amp;$B29&amp;" EI'!$D$4:$Z$4"),INDIRECT("'"&amp;$B29&amp;" EI'!$D$6:$Z$53")))*_xlfn.XLOOKUP($B29&amp;E$15,'Gas Useage'!$A$4:$A$15&amp;'Gas Useage'!$B$4:$B$15,_xlfn.XLOOKUP($C29&amp;E$14,'Gas Useage'!$C$2:$AB$2&amp;'Gas Useage'!$C$3:$AB$3,'Gas Useage'!$C$4:$AB$15))/_xlfn.XLOOKUP($B29&amp;E$15,'Gas Useage'!$A$4:$A$15&amp;'Gas Useage'!$B$4:$B$15,_xlfn.XLOOKUP(E$14,'Gas Useage'!$AA$3:$AB$3,'Gas Useage'!$AA$4:$AB$15)),"---")</f>
        <v>2.9695247509999473E-7</v>
      </c>
      <c r="F29" s="259" t="str" cm="1">
        <f t="array" aca="1" ref="F29" ca="1">IFERROR(_xlfn.XLOOKUP(F$13,INDIRECT("'"&amp;$B29&amp;" EI'!$B$6:$B$53"),_xlfn.XLOOKUP($C$10,INDIRECT("'"&amp;$B29&amp;" EI'!$D$4:$Z$4"),INDIRECT("'"&amp;$B29&amp;" EI'!$D$6:$Z$53")))*_xlfn.XLOOKUP($B29&amp;F$15,'Gas Useage'!$A$4:$A$15&amp;'Gas Useage'!$B$4:$B$15,_xlfn.XLOOKUP($C29&amp;F$14,'Gas Useage'!$C$2:$AB$2&amp;'Gas Useage'!$C$3:$AB$3,'Gas Useage'!$C$4:$AB$15))/_xlfn.XLOOKUP($B29&amp;F$15,'Gas Useage'!$A$4:$A$15&amp;'Gas Useage'!$B$4:$B$15,_xlfn.XLOOKUP(F$14,'Gas Useage'!$AA$3:$AB$3,'Gas Useage'!$AA$4:$AB$15)),"---")</f>
        <v>---</v>
      </c>
      <c r="G29" s="259" cm="1">
        <f t="array" aca="1" ref="G29" ca="1">IFERROR(_xlfn.XLOOKUP(G$13,INDIRECT("'"&amp;$B29&amp;" EI'!$B$6:$B$53"),_xlfn.XLOOKUP($C$10,INDIRECT("'"&amp;$B29&amp;" EI'!$D$4:$Z$4"),INDIRECT("'"&amp;$B29&amp;" EI'!$D$6:$Z$53")))*_xlfn.XLOOKUP($B29&amp;G$15,'Gas Useage'!$A$4:$A$15&amp;'Gas Useage'!$B$4:$B$15,_xlfn.XLOOKUP($C29&amp;G$14,'Gas Useage'!$C$2:$AB$2&amp;'Gas Useage'!$C$3:$AB$3,'Gas Useage'!$C$4:$AB$15))/_xlfn.XLOOKUP($B29&amp;G$15,'Gas Useage'!$A$4:$A$15&amp;'Gas Useage'!$B$4:$B$15,_xlfn.XLOOKUP(G$14,'Gas Useage'!$AA$3:$AB$3,'Gas Useage'!$AA$4:$AB$15)),"---")</f>
        <v>4.0717234763387849E-7</v>
      </c>
      <c r="H29" s="260" t="s">
        <v>278</v>
      </c>
      <c r="I29" s="260" t="s">
        <v>278</v>
      </c>
      <c r="J29" s="260" t="s">
        <v>278</v>
      </c>
      <c r="K29" s="261" t="s">
        <v>278</v>
      </c>
      <c r="N29" s="258"/>
    </row>
    <row r="30" spans="2:14" ht="13.5" x14ac:dyDescent="0.25">
      <c r="B30" s="32">
        <v>2021</v>
      </c>
      <c r="C30" s="494" t="s">
        <v>280</v>
      </c>
      <c r="D30" s="259" t="str" cm="1">
        <f t="array" aca="1" ref="D30" ca="1">IFERROR(_xlfn.XLOOKUP(D$13,INDIRECT("'"&amp;$B30&amp;" EI'!$B$6:$B$53"),_xlfn.XLOOKUP($C$10,INDIRECT("'"&amp;$B30&amp;" EI'!$D$4:$Z$4"),INDIRECT("'"&amp;$B30&amp;" EI'!$D$6:$Z$53")))*_xlfn.XLOOKUP($B30&amp;D$15,'Gas Useage'!$A$4:$A$15&amp;'Gas Useage'!$B$4:$B$15,_xlfn.XLOOKUP($C30&amp;D$14,'Gas Useage'!$C$2:$AB$2&amp;'Gas Useage'!$C$3:$AB$3,'Gas Useage'!$C$4:$AB$15))/_xlfn.XLOOKUP($B30&amp;D$15,'Gas Useage'!$A$4:$A$15&amp;'Gas Useage'!$B$4:$B$15,_xlfn.XLOOKUP(D$14,'Gas Useage'!$AA$3:$AB$3,'Gas Useage'!$AA$4:$AB$15)),"---")</f>
        <v>---</v>
      </c>
      <c r="E30" s="259" cm="1">
        <f t="array" aca="1" ref="E30" ca="1">IFERROR(_xlfn.XLOOKUP(E$13,INDIRECT("'"&amp;$B30&amp;" EI'!$B$6:$B$53"),_xlfn.XLOOKUP($C$10,INDIRECT("'"&amp;$B30&amp;" EI'!$D$4:$Z$4"),INDIRECT("'"&amp;$B30&amp;" EI'!$D$6:$Z$53")))*_xlfn.XLOOKUP($B30&amp;E$15,'Gas Useage'!$A$4:$A$15&amp;'Gas Useage'!$B$4:$B$15,_xlfn.XLOOKUP($C30&amp;E$14,'Gas Useage'!$C$2:$AB$2&amp;'Gas Useage'!$C$3:$AB$3,'Gas Useage'!$C$4:$AB$15))/_xlfn.XLOOKUP($B30&amp;E$15,'Gas Useage'!$A$4:$A$15&amp;'Gas Useage'!$B$4:$B$15,_xlfn.XLOOKUP(E$14,'Gas Useage'!$AA$3:$AB$3,'Gas Useage'!$AA$4:$AB$15)),"---")</f>
        <v>4.8528853366532156E-7</v>
      </c>
      <c r="F30" s="259" t="str" cm="1">
        <f t="array" aca="1" ref="F30" ca="1">IFERROR(_xlfn.XLOOKUP(F$13,INDIRECT("'"&amp;$B30&amp;" EI'!$B$6:$B$53"),_xlfn.XLOOKUP($C$10,INDIRECT("'"&amp;$B30&amp;" EI'!$D$4:$Z$4"),INDIRECT("'"&amp;$B30&amp;" EI'!$D$6:$Z$53")))*_xlfn.XLOOKUP($B30&amp;F$15,'Gas Useage'!$A$4:$A$15&amp;'Gas Useage'!$B$4:$B$15,_xlfn.XLOOKUP($C30&amp;F$14,'Gas Useage'!$C$2:$AB$2&amp;'Gas Useage'!$C$3:$AB$3,'Gas Useage'!$C$4:$AB$15))/_xlfn.XLOOKUP($B30&amp;F$15,'Gas Useage'!$A$4:$A$15&amp;'Gas Useage'!$B$4:$B$15,_xlfn.XLOOKUP(F$14,'Gas Useage'!$AA$3:$AB$3,'Gas Useage'!$AA$4:$AB$15)),"---")</f>
        <v>---</v>
      </c>
      <c r="G30" s="259" cm="1">
        <f t="array" aca="1" ref="G30" ca="1">IFERROR(_xlfn.XLOOKUP(G$13,INDIRECT("'"&amp;$B30&amp;" EI'!$B$6:$B$53"),_xlfn.XLOOKUP($C$10,INDIRECT("'"&amp;$B30&amp;" EI'!$D$4:$Z$4"),INDIRECT("'"&amp;$B30&amp;" EI'!$D$6:$Z$53")))*_xlfn.XLOOKUP($B30&amp;G$15,'Gas Useage'!$A$4:$A$15&amp;'Gas Useage'!$B$4:$B$15,_xlfn.XLOOKUP($C30&amp;G$14,'Gas Useage'!$C$2:$AB$2&amp;'Gas Useage'!$C$3:$AB$3,'Gas Useage'!$C$4:$AB$15))/_xlfn.XLOOKUP($B30&amp;G$15,'Gas Useage'!$A$4:$A$15&amp;'Gas Useage'!$B$4:$B$15,_xlfn.XLOOKUP(G$14,'Gas Useage'!$AA$3:$AB$3,'Gas Useage'!$AA$4:$AB$15)),"---")</f>
        <v>3.3535797799849612E-7</v>
      </c>
      <c r="H30" s="260" t="s">
        <v>278</v>
      </c>
      <c r="I30" s="260" t="s">
        <v>278</v>
      </c>
      <c r="J30" s="260" t="s">
        <v>278</v>
      </c>
      <c r="K30" s="261" t="s">
        <v>278</v>
      </c>
      <c r="N30" s="258"/>
    </row>
    <row r="31" spans="2:14" ht="13.5" x14ac:dyDescent="0.25">
      <c r="B31" s="32">
        <v>2021</v>
      </c>
      <c r="C31" s="494" t="s">
        <v>281</v>
      </c>
      <c r="D31" s="259" t="str" cm="1">
        <f t="array" aca="1" ref="D31" ca="1">IFERROR(_xlfn.XLOOKUP(D$13,INDIRECT("'"&amp;$B31&amp;" EI'!$B$6:$B$53"),_xlfn.XLOOKUP($C$10,INDIRECT("'"&amp;$B31&amp;" EI'!$D$4:$Z$4"),INDIRECT("'"&amp;$B31&amp;" EI'!$D$6:$Z$53")))*_xlfn.XLOOKUP($B31&amp;D$15,'Gas Useage'!$A$4:$A$15&amp;'Gas Useage'!$B$4:$B$15,_xlfn.XLOOKUP($C31&amp;D$14,'Gas Useage'!$C$2:$AB$2&amp;'Gas Useage'!$C$3:$AB$3,'Gas Useage'!$C$4:$AB$15))/_xlfn.XLOOKUP($B31&amp;D$15,'Gas Useage'!$A$4:$A$15&amp;'Gas Useage'!$B$4:$B$15,_xlfn.XLOOKUP(D$14,'Gas Useage'!$AA$3:$AB$3,'Gas Useage'!$AA$4:$AB$15)),"---")</f>
        <v>---</v>
      </c>
      <c r="E31" s="259" cm="1">
        <f t="array" aca="1" ref="E31" ca="1">IFERROR(_xlfn.XLOOKUP(E$13,INDIRECT("'"&amp;$B31&amp;" EI'!$B$6:$B$53"),_xlfn.XLOOKUP($C$10,INDIRECT("'"&amp;$B31&amp;" EI'!$D$4:$Z$4"),INDIRECT("'"&amp;$B31&amp;" EI'!$D$6:$Z$53")))*_xlfn.XLOOKUP($B31&amp;E$15,'Gas Useage'!$A$4:$A$15&amp;'Gas Useage'!$B$4:$B$15,_xlfn.XLOOKUP($C31&amp;E$14,'Gas Useage'!$C$2:$AB$2&amp;'Gas Useage'!$C$3:$AB$3,'Gas Useage'!$C$4:$AB$15))/_xlfn.XLOOKUP($B31&amp;E$15,'Gas Useage'!$A$4:$A$15&amp;'Gas Useage'!$B$4:$B$15,_xlfn.XLOOKUP(E$14,'Gas Useage'!$AA$3:$AB$3,'Gas Useage'!$AA$4:$AB$15)),"---")</f>
        <v>1.782750361849997E-7</v>
      </c>
      <c r="F31" s="259" t="str" cm="1">
        <f t="array" aca="1" ref="F31" ca="1">IFERROR(_xlfn.XLOOKUP(F$13,INDIRECT("'"&amp;$B31&amp;" EI'!$B$6:$B$53"),_xlfn.XLOOKUP($C$10,INDIRECT("'"&amp;$B31&amp;" EI'!$D$4:$Z$4"),INDIRECT("'"&amp;$B31&amp;" EI'!$D$6:$Z$53")))*_xlfn.XLOOKUP($B31&amp;F$15,'Gas Useage'!$A$4:$A$15&amp;'Gas Useage'!$B$4:$B$15,_xlfn.XLOOKUP($C31&amp;F$14,'Gas Useage'!$C$2:$AB$2&amp;'Gas Useage'!$C$3:$AB$3,'Gas Useage'!$C$4:$AB$15))/_xlfn.XLOOKUP($B31&amp;F$15,'Gas Useage'!$A$4:$A$15&amp;'Gas Useage'!$B$4:$B$15,_xlfn.XLOOKUP(F$14,'Gas Useage'!$AA$3:$AB$3,'Gas Useage'!$AA$4:$AB$15)),"---")</f>
        <v>---</v>
      </c>
      <c r="G31" s="259" cm="1">
        <f t="array" aca="1" ref="G31" ca="1">IFERROR(_xlfn.XLOOKUP(G$13,INDIRECT("'"&amp;$B31&amp;" EI'!$B$6:$B$53"),_xlfn.XLOOKUP($C$10,INDIRECT("'"&amp;$B31&amp;" EI'!$D$4:$Z$4"),INDIRECT("'"&amp;$B31&amp;" EI'!$D$6:$Z$53")))*_xlfn.XLOOKUP($B31&amp;G$15,'Gas Useage'!$A$4:$A$15&amp;'Gas Useage'!$B$4:$B$15,_xlfn.XLOOKUP($C31&amp;G$14,'Gas Useage'!$C$2:$AB$2&amp;'Gas Useage'!$C$3:$AB$3,'Gas Useage'!$C$4:$AB$15))/_xlfn.XLOOKUP($B31&amp;G$15,'Gas Useage'!$A$4:$A$15&amp;'Gas Useage'!$B$4:$B$15,_xlfn.XLOOKUP(G$14,'Gas Useage'!$AA$3:$AB$3,'Gas Useage'!$AA$4:$AB$15)),"---")</f>
        <v>2.6099330745585507E-7</v>
      </c>
      <c r="H31" s="260" t="s">
        <v>278</v>
      </c>
      <c r="I31" s="260" t="s">
        <v>278</v>
      </c>
      <c r="J31" s="260" t="s">
        <v>278</v>
      </c>
      <c r="K31" s="261" t="s">
        <v>278</v>
      </c>
      <c r="N31" s="258"/>
    </row>
    <row r="32" spans="2:14" ht="13.5" x14ac:dyDescent="0.25">
      <c r="B32" s="32">
        <v>2021</v>
      </c>
      <c r="C32" s="494" t="s">
        <v>282</v>
      </c>
      <c r="D32" s="259" t="str" cm="1">
        <f t="array" aca="1" ref="D32" ca="1">IFERROR(_xlfn.XLOOKUP(D$13,INDIRECT("'"&amp;$B32&amp;" EI'!$B$6:$B$53"),_xlfn.XLOOKUP($C$10,INDIRECT("'"&amp;$B32&amp;" EI'!$D$4:$Z$4"),INDIRECT("'"&amp;$B32&amp;" EI'!$D$6:$Z$53")))*_xlfn.XLOOKUP($B32&amp;D$15,'Gas Useage'!$A$4:$A$15&amp;'Gas Useage'!$B$4:$B$15,_xlfn.XLOOKUP($C32&amp;D$14,'Gas Useage'!$C$2:$AB$2&amp;'Gas Useage'!$C$3:$AB$3,'Gas Useage'!$C$4:$AB$15))/_xlfn.XLOOKUP($B32&amp;D$15,'Gas Useage'!$A$4:$A$15&amp;'Gas Useage'!$B$4:$B$15,_xlfn.XLOOKUP(D$14,'Gas Useage'!$AA$3:$AB$3,'Gas Useage'!$AA$4:$AB$15)),"---")</f>
        <v>---</v>
      </c>
      <c r="E32" s="259" cm="1">
        <f t="array" aca="1" ref="E32" ca="1">IFERROR(_xlfn.XLOOKUP(E$13,INDIRECT("'"&amp;$B32&amp;" EI'!$B$6:$B$53"),_xlfn.XLOOKUP($C$10,INDIRECT("'"&amp;$B32&amp;" EI'!$D$4:$Z$4"),INDIRECT("'"&amp;$B32&amp;" EI'!$D$6:$Z$53")))*_xlfn.XLOOKUP($B32&amp;E$15,'Gas Useage'!$A$4:$A$15&amp;'Gas Useage'!$B$4:$B$15,_xlfn.XLOOKUP($C32&amp;E$14,'Gas Useage'!$C$2:$AB$2&amp;'Gas Useage'!$C$3:$AB$3,'Gas Useage'!$C$4:$AB$15))/_xlfn.XLOOKUP($B32&amp;E$15,'Gas Useage'!$A$4:$A$15&amp;'Gas Useage'!$B$4:$B$15,_xlfn.XLOOKUP(E$14,'Gas Useage'!$AA$3:$AB$3,'Gas Useage'!$AA$4:$AB$15)),"---")</f>
        <v>1.1726645698876598E-7</v>
      </c>
      <c r="F32" s="259" t="str" cm="1">
        <f t="array" aca="1" ref="F32" ca="1">IFERROR(_xlfn.XLOOKUP(F$13,INDIRECT("'"&amp;$B32&amp;" EI'!$B$6:$B$53"),_xlfn.XLOOKUP($C$10,INDIRECT("'"&amp;$B32&amp;" EI'!$D$4:$Z$4"),INDIRECT("'"&amp;$B32&amp;" EI'!$D$6:$Z$53")))*_xlfn.XLOOKUP($B32&amp;F$15,'Gas Useage'!$A$4:$A$15&amp;'Gas Useage'!$B$4:$B$15,_xlfn.XLOOKUP($C32&amp;F$14,'Gas Useage'!$C$2:$AB$2&amp;'Gas Useage'!$C$3:$AB$3,'Gas Useage'!$C$4:$AB$15))/_xlfn.XLOOKUP($B32&amp;F$15,'Gas Useage'!$A$4:$A$15&amp;'Gas Useage'!$B$4:$B$15,_xlfn.XLOOKUP(F$14,'Gas Useage'!$AA$3:$AB$3,'Gas Useage'!$AA$4:$AB$15)),"---")</f>
        <v>---</v>
      </c>
      <c r="G32" s="259" cm="1">
        <f t="array" aca="1" ref="G32" ca="1">IFERROR(_xlfn.XLOOKUP(G$13,INDIRECT("'"&amp;$B32&amp;" EI'!$B$6:$B$53"),_xlfn.XLOOKUP($C$10,INDIRECT("'"&amp;$B32&amp;" EI'!$D$4:$Z$4"),INDIRECT("'"&amp;$B32&amp;" EI'!$D$6:$Z$53")))*_xlfn.XLOOKUP($B32&amp;G$15,'Gas Useage'!$A$4:$A$15&amp;'Gas Useage'!$B$4:$B$15,_xlfn.XLOOKUP($C32&amp;G$14,'Gas Useage'!$C$2:$AB$2&amp;'Gas Useage'!$C$3:$AB$3,'Gas Useage'!$C$4:$AB$15))/_xlfn.XLOOKUP($B32&amp;G$15,'Gas Useage'!$A$4:$A$15&amp;'Gas Useage'!$B$4:$B$15,_xlfn.XLOOKUP(G$14,'Gas Useage'!$AA$3:$AB$3,'Gas Useage'!$AA$4:$AB$15)),"---")</f>
        <v>2.2624317991795458E-7</v>
      </c>
      <c r="H32" s="260" t="s">
        <v>278</v>
      </c>
      <c r="I32" s="260" t="s">
        <v>278</v>
      </c>
      <c r="J32" s="260" t="s">
        <v>278</v>
      </c>
      <c r="K32" s="261" t="s">
        <v>278</v>
      </c>
      <c r="N32" s="258"/>
    </row>
    <row r="33" spans="2:14" ht="13.5" x14ac:dyDescent="0.25">
      <c r="B33" s="32">
        <v>2021</v>
      </c>
      <c r="C33" s="494" t="s">
        <v>283</v>
      </c>
      <c r="D33" s="259" t="str" cm="1">
        <f t="array" aca="1" ref="D33" ca="1">IFERROR(_xlfn.XLOOKUP(D$13,INDIRECT("'"&amp;$B33&amp;" EI'!$B$6:$B$53"),_xlfn.XLOOKUP($C$10,INDIRECT("'"&amp;$B33&amp;" EI'!$D$4:$Z$4"),INDIRECT("'"&amp;$B33&amp;" EI'!$D$6:$Z$53")))*_xlfn.XLOOKUP($B33&amp;D$15,'Gas Useage'!$A$4:$A$15&amp;'Gas Useage'!$B$4:$B$15,_xlfn.XLOOKUP($C33&amp;D$14,'Gas Useage'!$C$2:$AB$2&amp;'Gas Useage'!$C$3:$AB$3,'Gas Useage'!$C$4:$AB$15))/_xlfn.XLOOKUP($B33&amp;D$15,'Gas Useage'!$A$4:$A$15&amp;'Gas Useage'!$B$4:$B$15,_xlfn.XLOOKUP(D$14,'Gas Useage'!$AA$3:$AB$3,'Gas Useage'!$AA$4:$AB$15)),"---")</f>
        <v>---</v>
      </c>
      <c r="E33" s="259" cm="1">
        <f t="array" aca="1" ref="E33" ca="1">IFERROR(_xlfn.XLOOKUP(E$13,INDIRECT("'"&amp;$B33&amp;" EI'!$B$6:$B$53"),_xlfn.XLOOKUP($C$10,INDIRECT("'"&amp;$B33&amp;" EI'!$D$4:$Z$4"),INDIRECT("'"&amp;$B33&amp;" EI'!$D$6:$Z$53")))*_xlfn.XLOOKUP($B33&amp;E$15,'Gas Useage'!$A$4:$A$15&amp;'Gas Useage'!$B$4:$B$15,_xlfn.XLOOKUP($C33&amp;E$14,'Gas Useage'!$C$2:$AB$2&amp;'Gas Useage'!$C$3:$AB$3,'Gas Useage'!$C$4:$AB$15))/_xlfn.XLOOKUP($B33&amp;E$15,'Gas Useage'!$A$4:$A$15&amp;'Gas Useage'!$B$4:$B$15,_xlfn.XLOOKUP(E$14,'Gas Useage'!$AA$3:$AB$3,'Gas Useage'!$AA$4:$AB$15)),"---")</f>
        <v>4.042570949406922E-8</v>
      </c>
      <c r="F33" s="259" t="str" cm="1">
        <f t="array" aca="1" ref="F33" ca="1">IFERROR(_xlfn.XLOOKUP(F$13,INDIRECT("'"&amp;$B33&amp;" EI'!$B$6:$B$53"),_xlfn.XLOOKUP($C$10,INDIRECT("'"&amp;$B33&amp;" EI'!$D$4:$Z$4"),INDIRECT("'"&amp;$B33&amp;" EI'!$D$6:$Z$53")))*_xlfn.XLOOKUP($B33&amp;F$15,'Gas Useage'!$A$4:$A$15&amp;'Gas Useage'!$B$4:$B$15,_xlfn.XLOOKUP($C33&amp;F$14,'Gas Useage'!$C$2:$AB$2&amp;'Gas Useage'!$C$3:$AB$3,'Gas Useage'!$C$4:$AB$15))/_xlfn.XLOOKUP($B33&amp;F$15,'Gas Useage'!$A$4:$A$15&amp;'Gas Useage'!$B$4:$B$15,_xlfn.XLOOKUP(F$14,'Gas Useage'!$AA$3:$AB$3,'Gas Useage'!$AA$4:$AB$15)),"---")</f>
        <v>---</v>
      </c>
      <c r="G33" s="259" cm="1">
        <f t="array" aca="1" ref="G33" ca="1">IFERROR(_xlfn.XLOOKUP(G$13,INDIRECT("'"&amp;$B33&amp;" EI'!$B$6:$B$53"),_xlfn.XLOOKUP($C$10,INDIRECT("'"&amp;$B33&amp;" EI'!$D$4:$Z$4"),INDIRECT("'"&amp;$B33&amp;" EI'!$D$6:$Z$53")))*_xlfn.XLOOKUP($B33&amp;G$15,'Gas Useage'!$A$4:$A$15&amp;'Gas Useage'!$B$4:$B$15,_xlfn.XLOOKUP($C33&amp;G$14,'Gas Useage'!$C$2:$AB$2&amp;'Gas Useage'!$C$3:$AB$3,'Gas Useage'!$C$4:$AB$15))/_xlfn.XLOOKUP($B33&amp;G$15,'Gas Useage'!$A$4:$A$15&amp;'Gas Useage'!$B$4:$B$15,_xlfn.XLOOKUP(G$14,'Gas Useage'!$AA$3:$AB$3,'Gas Useage'!$AA$4:$AB$15)),"---")</f>
        <v>8.1897997137034194E-8</v>
      </c>
      <c r="H33" s="260" t="s">
        <v>278</v>
      </c>
      <c r="I33" s="260" t="s">
        <v>278</v>
      </c>
      <c r="J33" s="260" t="s">
        <v>278</v>
      </c>
      <c r="K33" s="261" t="s">
        <v>278</v>
      </c>
      <c r="N33" s="258"/>
    </row>
    <row r="34" spans="2:14" ht="13.5" x14ac:dyDescent="0.25">
      <c r="B34" s="32">
        <v>2021</v>
      </c>
      <c r="C34" s="494" t="s">
        <v>284</v>
      </c>
      <c r="D34" s="259" t="str" cm="1">
        <f t="array" aca="1" ref="D34" ca="1">IFERROR(_xlfn.XLOOKUP(D$13,INDIRECT("'"&amp;$B34&amp;" EI'!$B$6:$B$53"),_xlfn.XLOOKUP($C$10,INDIRECT("'"&amp;$B34&amp;" EI'!$D$4:$Z$4"),INDIRECT("'"&amp;$B34&amp;" EI'!$D$6:$Z$53")))*_xlfn.XLOOKUP($B34&amp;D$15,'Gas Useage'!$A$4:$A$15&amp;'Gas Useage'!$B$4:$B$15,_xlfn.XLOOKUP($C34&amp;D$14,'Gas Useage'!$C$2:$AB$2&amp;'Gas Useage'!$C$3:$AB$3,'Gas Useage'!$C$4:$AB$15))/_xlfn.XLOOKUP($B34&amp;D$15,'Gas Useage'!$A$4:$A$15&amp;'Gas Useage'!$B$4:$B$15,_xlfn.XLOOKUP(D$14,'Gas Useage'!$AA$3:$AB$3,'Gas Useage'!$AA$4:$AB$15)),"---")</f>
        <v>---</v>
      </c>
      <c r="E34" s="259" cm="1">
        <f t="array" aca="1" ref="E34" ca="1">IFERROR(_xlfn.XLOOKUP(E$13,INDIRECT("'"&amp;$B34&amp;" EI'!$B$6:$B$53"),_xlfn.XLOOKUP($C$10,INDIRECT("'"&amp;$B34&amp;" EI'!$D$4:$Z$4"),INDIRECT("'"&amp;$B34&amp;" EI'!$D$6:$Z$53")))*_xlfn.XLOOKUP($B34&amp;E$15,'Gas Useage'!$A$4:$A$15&amp;'Gas Useage'!$B$4:$B$15,_xlfn.XLOOKUP($C34&amp;E$14,'Gas Useage'!$C$2:$AB$2&amp;'Gas Useage'!$C$3:$AB$3,'Gas Useage'!$C$4:$AB$15))/_xlfn.XLOOKUP($B34&amp;E$15,'Gas Useage'!$A$4:$A$15&amp;'Gas Useage'!$B$4:$B$15,_xlfn.XLOOKUP(E$14,'Gas Useage'!$AA$3:$AB$3,'Gas Useage'!$AA$4:$AB$15)),"---")</f>
        <v>6.7991243851505729E-8</v>
      </c>
      <c r="F34" s="259" t="str" cm="1">
        <f t="array" aca="1" ref="F34" ca="1">IFERROR(_xlfn.XLOOKUP(F$13,INDIRECT("'"&amp;$B34&amp;" EI'!$B$6:$B$53"),_xlfn.XLOOKUP($C$10,INDIRECT("'"&amp;$B34&amp;" EI'!$D$4:$Z$4"),INDIRECT("'"&amp;$B34&amp;" EI'!$D$6:$Z$53")))*_xlfn.XLOOKUP($B34&amp;F$15,'Gas Useage'!$A$4:$A$15&amp;'Gas Useage'!$B$4:$B$15,_xlfn.XLOOKUP($C34&amp;F$14,'Gas Useage'!$C$2:$AB$2&amp;'Gas Useage'!$C$3:$AB$3,'Gas Useage'!$C$4:$AB$15))/_xlfn.XLOOKUP($B34&amp;F$15,'Gas Useage'!$A$4:$A$15&amp;'Gas Useage'!$B$4:$B$15,_xlfn.XLOOKUP(F$14,'Gas Useage'!$AA$3:$AB$3,'Gas Useage'!$AA$4:$AB$15)),"---")</f>
        <v>---</v>
      </c>
      <c r="G34" s="259" cm="1">
        <f t="array" aca="1" ref="G34" ca="1">IFERROR(_xlfn.XLOOKUP(G$13,INDIRECT("'"&amp;$B34&amp;" EI'!$B$6:$B$53"),_xlfn.XLOOKUP($C$10,INDIRECT("'"&amp;$B34&amp;" EI'!$D$4:$Z$4"),INDIRECT("'"&amp;$B34&amp;" EI'!$D$6:$Z$53")))*_xlfn.XLOOKUP($B34&amp;G$15,'Gas Useage'!$A$4:$A$15&amp;'Gas Useage'!$B$4:$B$15,_xlfn.XLOOKUP($C34&amp;G$14,'Gas Useage'!$C$2:$AB$2&amp;'Gas Useage'!$C$3:$AB$3,'Gas Useage'!$C$4:$AB$15))/_xlfn.XLOOKUP($B34&amp;G$15,'Gas Useage'!$A$4:$A$15&amp;'Gas Useage'!$B$4:$B$15,_xlfn.XLOOKUP(G$14,'Gas Useage'!$AA$3:$AB$3,'Gas Useage'!$AA$4:$AB$15)),"---")</f>
        <v>7.5959911001143542E-8</v>
      </c>
      <c r="H34" s="260" t="s">
        <v>278</v>
      </c>
      <c r="I34" s="260" t="s">
        <v>278</v>
      </c>
      <c r="J34" s="260" t="s">
        <v>278</v>
      </c>
      <c r="K34" s="261" t="s">
        <v>278</v>
      </c>
      <c r="N34" s="258"/>
    </row>
    <row r="35" spans="2:14" ht="13.5" x14ac:dyDescent="0.25">
      <c r="B35" s="32">
        <v>2021</v>
      </c>
      <c r="C35" s="494" t="s">
        <v>285</v>
      </c>
      <c r="D35" s="259" t="str" cm="1">
        <f t="array" aca="1" ref="D35" ca="1">IFERROR(_xlfn.XLOOKUP(D$13,INDIRECT("'"&amp;$B35&amp;" EI'!$B$6:$B$53"),_xlfn.XLOOKUP($C$10,INDIRECT("'"&amp;$B35&amp;" EI'!$D$4:$Z$4"),INDIRECT("'"&amp;$B35&amp;" EI'!$D$6:$Z$53")))*_xlfn.XLOOKUP($B35&amp;D$15,'Gas Useage'!$A$4:$A$15&amp;'Gas Useage'!$B$4:$B$15,_xlfn.XLOOKUP($C35&amp;D$14,'Gas Useage'!$C$2:$AB$2&amp;'Gas Useage'!$C$3:$AB$3,'Gas Useage'!$C$4:$AB$15))/_xlfn.XLOOKUP($B35&amp;D$15,'Gas Useage'!$A$4:$A$15&amp;'Gas Useage'!$B$4:$B$15,_xlfn.XLOOKUP(D$14,'Gas Useage'!$AA$3:$AB$3,'Gas Useage'!$AA$4:$AB$15)),"---")</f>
        <v>---</v>
      </c>
      <c r="E35" s="259" cm="1">
        <f t="array" aca="1" ref="E35" ca="1">IFERROR(_xlfn.XLOOKUP(E$13,INDIRECT("'"&amp;$B35&amp;" EI'!$B$6:$B$53"),_xlfn.XLOOKUP($C$10,INDIRECT("'"&amp;$B35&amp;" EI'!$D$4:$Z$4"),INDIRECT("'"&amp;$B35&amp;" EI'!$D$6:$Z$53")))*_xlfn.XLOOKUP($B35&amp;E$15,'Gas Useage'!$A$4:$A$15&amp;'Gas Useage'!$B$4:$B$15,_xlfn.XLOOKUP($C35&amp;E$14,'Gas Useage'!$C$2:$AB$2&amp;'Gas Useage'!$C$3:$AB$3,'Gas Useage'!$C$4:$AB$15))/_xlfn.XLOOKUP($B35&amp;E$15,'Gas Useage'!$A$4:$A$15&amp;'Gas Useage'!$B$4:$B$15,_xlfn.XLOOKUP(E$14,'Gas Useage'!$AA$3:$AB$3,'Gas Useage'!$AA$4:$AB$15)),"---")</f>
        <v>2.2729412455375064E-7</v>
      </c>
      <c r="F35" s="259" t="str" cm="1">
        <f t="array" aca="1" ref="F35" ca="1">IFERROR(_xlfn.XLOOKUP(F$13,INDIRECT("'"&amp;$B35&amp;" EI'!$B$6:$B$53"),_xlfn.XLOOKUP($C$10,INDIRECT("'"&amp;$B35&amp;" EI'!$D$4:$Z$4"),INDIRECT("'"&amp;$B35&amp;" EI'!$D$6:$Z$53")))*_xlfn.XLOOKUP($B35&amp;F$15,'Gas Useage'!$A$4:$A$15&amp;'Gas Useage'!$B$4:$B$15,_xlfn.XLOOKUP($C35&amp;F$14,'Gas Useage'!$C$2:$AB$2&amp;'Gas Useage'!$C$3:$AB$3,'Gas Useage'!$C$4:$AB$15))/_xlfn.XLOOKUP($B35&amp;F$15,'Gas Useage'!$A$4:$A$15&amp;'Gas Useage'!$B$4:$B$15,_xlfn.XLOOKUP(F$14,'Gas Useage'!$AA$3:$AB$3,'Gas Useage'!$AA$4:$AB$15)),"---")</f>
        <v>---</v>
      </c>
      <c r="G35" s="259" cm="1">
        <f t="array" aca="1" ref="G35" ca="1">IFERROR(_xlfn.XLOOKUP(G$13,INDIRECT("'"&amp;$B35&amp;" EI'!$B$6:$B$53"),_xlfn.XLOOKUP($C$10,INDIRECT("'"&amp;$B35&amp;" EI'!$D$4:$Z$4"),INDIRECT("'"&amp;$B35&amp;" EI'!$D$6:$Z$53")))*_xlfn.XLOOKUP($B35&amp;G$15,'Gas Useage'!$A$4:$A$15&amp;'Gas Useage'!$B$4:$B$15,_xlfn.XLOOKUP($C35&amp;G$14,'Gas Useage'!$C$2:$AB$2&amp;'Gas Useage'!$C$3:$AB$3,'Gas Useage'!$C$4:$AB$15))/_xlfn.XLOOKUP($B35&amp;G$15,'Gas Useage'!$A$4:$A$15&amp;'Gas Useage'!$B$4:$B$15,_xlfn.XLOOKUP(G$14,'Gas Useage'!$AA$3:$AB$3,'Gas Useage'!$AA$4:$AB$15)),"---")</f>
        <v>1.9385156372850038E-7</v>
      </c>
      <c r="H35" s="260" t="s">
        <v>278</v>
      </c>
      <c r="I35" s="260" t="s">
        <v>278</v>
      </c>
      <c r="J35" s="260" t="s">
        <v>278</v>
      </c>
      <c r="K35" s="261" t="s">
        <v>278</v>
      </c>
      <c r="N35" s="258"/>
    </row>
    <row r="36" spans="2:14" ht="13.5" x14ac:dyDescent="0.25">
      <c r="B36" s="32">
        <v>2021</v>
      </c>
      <c r="C36" s="494" t="s">
        <v>286</v>
      </c>
      <c r="D36" s="259" t="str" cm="1">
        <f t="array" aca="1" ref="D36" ca="1">IFERROR(_xlfn.XLOOKUP(D$13,INDIRECT("'"&amp;$B36&amp;" EI'!$B$6:$B$53"),_xlfn.XLOOKUP($C$10,INDIRECT("'"&amp;$B36&amp;" EI'!$D$4:$Z$4"),INDIRECT("'"&amp;$B36&amp;" EI'!$D$6:$Z$53")))*_xlfn.XLOOKUP($B36&amp;D$15,'Gas Useage'!$A$4:$A$15&amp;'Gas Useage'!$B$4:$B$15,_xlfn.XLOOKUP($C36&amp;D$14,'Gas Useage'!$C$2:$AB$2&amp;'Gas Useage'!$C$3:$AB$3,'Gas Useage'!$C$4:$AB$15))/_xlfn.XLOOKUP($B36&amp;D$15,'Gas Useage'!$A$4:$A$15&amp;'Gas Useage'!$B$4:$B$15,_xlfn.XLOOKUP(D$14,'Gas Useage'!$AA$3:$AB$3,'Gas Useage'!$AA$4:$AB$15)),"---")</f>
        <v>---</v>
      </c>
      <c r="E36" s="259" cm="1">
        <f t="array" aca="1" ref="E36" ca="1">IFERROR(_xlfn.XLOOKUP(E$13,INDIRECT("'"&amp;$B36&amp;" EI'!$B$6:$B$53"),_xlfn.XLOOKUP($C$10,INDIRECT("'"&amp;$B36&amp;" EI'!$D$4:$Z$4"),INDIRECT("'"&amp;$B36&amp;" EI'!$D$6:$Z$53")))*_xlfn.XLOOKUP($B36&amp;E$15,'Gas Useage'!$A$4:$A$15&amp;'Gas Useage'!$B$4:$B$15,_xlfn.XLOOKUP($C36&amp;E$14,'Gas Useage'!$C$2:$AB$2&amp;'Gas Useage'!$C$3:$AB$3,'Gas Useage'!$C$4:$AB$15))/_xlfn.XLOOKUP($B36&amp;E$15,'Gas Useage'!$A$4:$A$15&amp;'Gas Useage'!$B$4:$B$15,_xlfn.XLOOKUP(E$14,'Gas Useage'!$AA$3:$AB$3,'Gas Useage'!$AA$4:$AB$15)),"---")</f>
        <v>1.2178262012745357E-7</v>
      </c>
      <c r="F36" s="259" t="str" cm="1">
        <f t="array" aca="1" ref="F36" ca="1">IFERROR(_xlfn.XLOOKUP(F$13,INDIRECT("'"&amp;$B36&amp;" EI'!$B$6:$B$53"),_xlfn.XLOOKUP($C$10,INDIRECT("'"&amp;$B36&amp;" EI'!$D$4:$Z$4"),INDIRECT("'"&amp;$B36&amp;" EI'!$D$6:$Z$53")))*_xlfn.XLOOKUP($B36&amp;F$15,'Gas Useage'!$A$4:$A$15&amp;'Gas Useage'!$B$4:$B$15,_xlfn.XLOOKUP($C36&amp;F$14,'Gas Useage'!$C$2:$AB$2&amp;'Gas Useage'!$C$3:$AB$3,'Gas Useage'!$C$4:$AB$15))/_xlfn.XLOOKUP($B36&amp;F$15,'Gas Useage'!$A$4:$A$15&amp;'Gas Useage'!$B$4:$B$15,_xlfn.XLOOKUP(F$14,'Gas Useage'!$AA$3:$AB$3,'Gas Useage'!$AA$4:$AB$15)),"---")</f>
        <v>---</v>
      </c>
      <c r="G36" s="259" cm="1">
        <f t="array" aca="1" ref="G36" ca="1">IFERROR(_xlfn.XLOOKUP(G$13,INDIRECT("'"&amp;$B36&amp;" EI'!$B$6:$B$53"),_xlfn.XLOOKUP($C$10,INDIRECT("'"&amp;$B36&amp;" EI'!$D$4:$Z$4"),INDIRECT("'"&amp;$B36&amp;" EI'!$D$6:$Z$53")))*_xlfn.XLOOKUP($B36&amp;G$15,'Gas Useage'!$A$4:$A$15&amp;'Gas Useage'!$B$4:$B$15,_xlfn.XLOOKUP($C36&amp;G$14,'Gas Useage'!$C$2:$AB$2&amp;'Gas Useage'!$C$3:$AB$3,'Gas Useage'!$C$4:$AB$15))/_xlfn.XLOOKUP($B36&amp;G$15,'Gas Useage'!$A$4:$A$15&amp;'Gas Useage'!$B$4:$B$15,_xlfn.XLOOKUP(G$14,'Gas Useage'!$AA$3:$AB$3,'Gas Useage'!$AA$4:$AB$15)),"---")</f>
        <v>9.6995577525305672E-8</v>
      </c>
      <c r="H36" s="260" t="s">
        <v>278</v>
      </c>
      <c r="I36" s="260" t="s">
        <v>278</v>
      </c>
      <c r="J36" s="260" t="s">
        <v>278</v>
      </c>
      <c r="K36" s="261" t="s">
        <v>278</v>
      </c>
      <c r="N36" s="258"/>
    </row>
    <row r="37" spans="2:14" ht="13.5" x14ac:dyDescent="0.25">
      <c r="B37" s="32">
        <v>2021</v>
      </c>
      <c r="C37" s="494" t="s">
        <v>287</v>
      </c>
      <c r="D37" s="259" t="str" cm="1">
        <f t="array" aca="1" ref="D37" ca="1">IFERROR(_xlfn.XLOOKUP(D$13,INDIRECT("'"&amp;$B37&amp;" EI'!$B$6:$B$53"),_xlfn.XLOOKUP($C$10,INDIRECT("'"&amp;$B37&amp;" EI'!$D$4:$Z$4"),INDIRECT("'"&amp;$B37&amp;" EI'!$D$6:$Z$53")))*_xlfn.XLOOKUP($B37&amp;D$15,'Gas Useage'!$A$4:$A$15&amp;'Gas Useage'!$B$4:$B$15,_xlfn.XLOOKUP($C37&amp;D$14,'Gas Useage'!$C$2:$AB$2&amp;'Gas Useage'!$C$3:$AB$3,'Gas Useage'!$C$4:$AB$15))/_xlfn.XLOOKUP($B37&amp;D$15,'Gas Useage'!$A$4:$A$15&amp;'Gas Useage'!$B$4:$B$15,_xlfn.XLOOKUP(D$14,'Gas Useage'!$AA$3:$AB$3,'Gas Useage'!$AA$4:$AB$15)),"---")</f>
        <v>---</v>
      </c>
      <c r="E37" s="259" cm="1">
        <f t="array" aca="1" ref="E37" ca="1">IFERROR(_xlfn.XLOOKUP(E$13,INDIRECT("'"&amp;$B37&amp;" EI'!$B$6:$B$53"),_xlfn.XLOOKUP($C$10,INDIRECT("'"&amp;$B37&amp;" EI'!$D$4:$Z$4"),INDIRECT("'"&amp;$B37&amp;" EI'!$D$6:$Z$53")))*_xlfn.XLOOKUP($B37&amp;E$15,'Gas Useage'!$A$4:$A$15&amp;'Gas Useage'!$B$4:$B$15,_xlfn.XLOOKUP($C37&amp;E$14,'Gas Useage'!$C$2:$AB$2&amp;'Gas Useage'!$C$3:$AB$3,'Gas Useage'!$C$4:$AB$15))/_xlfn.XLOOKUP($B37&amp;E$15,'Gas Useage'!$A$4:$A$15&amp;'Gas Useage'!$B$4:$B$15,_xlfn.XLOOKUP(E$14,'Gas Useage'!$AA$3:$AB$3,'Gas Useage'!$AA$4:$AB$15)),"---")</f>
        <v>1.1610752221827099E-7</v>
      </c>
      <c r="F37" s="259" t="str" cm="1">
        <f t="array" aca="1" ref="F37" ca="1">IFERROR(_xlfn.XLOOKUP(F$13,INDIRECT("'"&amp;$B37&amp;" EI'!$B$6:$B$53"),_xlfn.XLOOKUP($C$10,INDIRECT("'"&amp;$B37&amp;" EI'!$D$4:$Z$4"),INDIRECT("'"&amp;$B37&amp;" EI'!$D$6:$Z$53")))*_xlfn.XLOOKUP($B37&amp;F$15,'Gas Useage'!$A$4:$A$15&amp;'Gas Useage'!$B$4:$B$15,_xlfn.XLOOKUP($C37&amp;F$14,'Gas Useage'!$C$2:$AB$2&amp;'Gas Useage'!$C$3:$AB$3,'Gas Useage'!$C$4:$AB$15))/_xlfn.XLOOKUP($B37&amp;F$15,'Gas Useage'!$A$4:$A$15&amp;'Gas Useage'!$B$4:$B$15,_xlfn.XLOOKUP(F$14,'Gas Useage'!$AA$3:$AB$3,'Gas Useage'!$AA$4:$AB$15)),"---")</f>
        <v>---</v>
      </c>
      <c r="G37" s="259" cm="1">
        <f t="array" aca="1" ref="G37" ca="1">IFERROR(_xlfn.XLOOKUP(G$13,INDIRECT("'"&amp;$B37&amp;" EI'!$B$6:$B$53"),_xlfn.XLOOKUP($C$10,INDIRECT("'"&amp;$B37&amp;" EI'!$D$4:$Z$4"),INDIRECT("'"&amp;$B37&amp;" EI'!$D$6:$Z$53")))*_xlfn.XLOOKUP($B37&amp;G$15,'Gas Useage'!$A$4:$A$15&amp;'Gas Useage'!$B$4:$B$15,_xlfn.XLOOKUP($C37&amp;G$14,'Gas Useage'!$C$2:$AB$2&amp;'Gas Useage'!$C$3:$AB$3,'Gas Useage'!$C$4:$AB$15))/_xlfn.XLOOKUP($B37&amp;G$15,'Gas Useage'!$A$4:$A$15&amp;'Gas Useage'!$B$4:$B$15,_xlfn.XLOOKUP(G$14,'Gas Useage'!$AA$3:$AB$3,'Gas Useage'!$AA$4:$AB$15)),"---")</f>
        <v>9.4553860635210742E-8</v>
      </c>
      <c r="H37" s="260" t="s">
        <v>278</v>
      </c>
      <c r="I37" s="260" t="s">
        <v>278</v>
      </c>
      <c r="J37" s="260" t="s">
        <v>278</v>
      </c>
      <c r="K37" s="261" t="s">
        <v>278</v>
      </c>
      <c r="N37" s="258"/>
    </row>
    <row r="38" spans="2:14" ht="13.5" x14ac:dyDescent="0.25">
      <c r="B38" s="32">
        <v>2021</v>
      </c>
      <c r="C38" s="494" t="s">
        <v>288</v>
      </c>
      <c r="D38" s="259" t="str" cm="1">
        <f t="array" aca="1" ref="D38" ca="1">IFERROR(_xlfn.XLOOKUP(D$13,INDIRECT("'"&amp;$B38&amp;" EI'!$B$6:$B$53"),_xlfn.XLOOKUP($C$10,INDIRECT("'"&amp;$B38&amp;" EI'!$D$4:$Z$4"),INDIRECT("'"&amp;$B38&amp;" EI'!$D$6:$Z$53")))*_xlfn.XLOOKUP($B38&amp;D$15,'Gas Useage'!$A$4:$A$15&amp;'Gas Useage'!$B$4:$B$15,_xlfn.XLOOKUP($C38&amp;D$14,'Gas Useage'!$C$2:$AB$2&amp;'Gas Useage'!$C$3:$AB$3,'Gas Useage'!$C$4:$AB$15))/_xlfn.XLOOKUP($B38&amp;D$15,'Gas Useage'!$A$4:$A$15&amp;'Gas Useage'!$B$4:$B$15,_xlfn.XLOOKUP(D$14,'Gas Useage'!$AA$3:$AB$3,'Gas Useage'!$AA$4:$AB$15)),"---")</f>
        <v>---</v>
      </c>
      <c r="E38" s="259" cm="1">
        <f t="array" aca="1" ref="E38" ca="1">IFERROR(_xlfn.XLOOKUP(E$13,INDIRECT("'"&amp;$B38&amp;" EI'!$B$6:$B$53"),_xlfn.XLOOKUP($C$10,INDIRECT("'"&amp;$B38&amp;" EI'!$D$4:$Z$4"),INDIRECT("'"&amp;$B38&amp;" EI'!$D$6:$Z$53")))*_xlfn.XLOOKUP($B38&amp;E$15,'Gas Useage'!$A$4:$A$15&amp;'Gas Useage'!$B$4:$B$15,_xlfn.XLOOKUP($C38&amp;E$14,'Gas Useage'!$C$2:$AB$2&amp;'Gas Useage'!$C$3:$AB$3,'Gas Useage'!$C$4:$AB$15))/_xlfn.XLOOKUP($B38&amp;E$15,'Gas Useage'!$A$4:$A$15&amp;'Gas Useage'!$B$4:$B$15,_xlfn.XLOOKUP(E$14,'Gas Useage'!$AA$3:$AB$3,'Gas Useage'!$AA$4:$AB$15)),"---")</f>
        <v>5.4974582415062438E-7</v>
      </c>
      <c r="F38" s="259" t="str" cm="1">
        <f t="array" aca="1" ref="F38" ca="1">IFERROR(_xlfn.XLOOKUP(F$13,INDIRECT("'"&amp;$B38&amp;" EI'!$B$6:$B$53"),_xlfn.XLOOKUP($C$10,INDIRECT("'"&amp;$B38&amp;" EI'!$D$4:$Z$4"),INDIRECT("'"&amp;$B38&amp;" EI'!$D$6:$Z$53")))*_xlfn.XLOOKUP($B38&amp;F$15,'Gas Useage'!$A$4:$A$15&amp;'Gas Useage'!$B$4:$B$15,_xlfn.XLOOKUP($C38&amp;F$14,'Gas Useage'!$C$2:$AB$2&amp;'Gas Useage'!$C$3:$AB$3,'Gas Useage'!$C$4:$AB$15))/_xlfn.XLOOKUP($B38&amp;F$15,'Gas Useage'!$A$4:$A$15&amp;'Gas Useage'!$B$4:$B$15,_xlfn.XLOOKUP(F$14,'Gas Useage'!$AA$3:$AB$3,'Gas Useage'!$AA$4:$AB$15)),"---")</f>
        <v>---</v>
      </c>
      <c r="G38" s="259" cm="1">
        <f t="array" aca="1" ref="G38" ca="1">IFERROR(_xlfn.XLOOKUP(G$13,INDIRECT("'"&amp;$B38&amp;" EI'!$B$6:$B$53"),_xlfn.XLOOKUP($C$10,INDIRECT("'"&amp;$B38&amp;" EI'!$D$4:$Z$4"),INDIRECT("'"&amp;$B38&amp;" EI'!$D$6:$Z$53")))*_xlfn.XLOOKUP($B38&amp;G$15,'Gas Useage'!$A$4:$A$15&amp;'Gas Useage'!$B$4:$B$15,_xlfn.XLOOKUP($C38&amp;G$14,'Gas Useage'!$C$2:$AB$2&amp;'Gas Useage'!$C$3:$AB$3,'Gas Useage'!$C$4:$AB$15))/_xlfn.XLOOKUP($B38&amp;G$15,'Gas Useage'!$A$4:$A$15&amp;'Gas Useage'!$B$4:$B$15,_xlfn.XLOOKUP(G$14,'Gas Useage'!$AA$3:$AB$3,'Gas Useage'!$AA$4:$AB$15)),"---")</f>
        <v>5.0095872174580936E-7</v>
      </c>
      <c r="H38" s="260" t="s">
        <v>278</v>
      </c>
      <c r="I38" s="260" t="s">
        <v>278</v>
      </c>
      <c r="J38" s="260" t="s">
        <v>278</v>
      </c>
      <c r="K38" s="261" t="s">
        <v>278</v>
      </c>
      <c r="N38" s="258"/>
    </row>
    <row r="39" spans="2:14" ht="13.5" x14ac:dyDescent="0.25">
      <c r="B39" s="32">
        <v>2021</v>
      </c>
      <c r="C39" s="494" t="s">
        <v>289</v>
      </c>
      <c r="D39" s="259" t="str" cm="1">
        <f t="array" aca="1" ref="D39" ca="1">IFERROR(_xlfn.XLOOKUP(D$13,INDIRECT("'"&amp;$B39&amp;" EI'!$B$6:$B$53"),_xlfn.XLOOKUP($C$10,INDIRECT("'"&amp;$B39&amp;" EI'!$D$4:$Z$4"),INDIRECT("'"&amp;$B39&amp;" EI'!$D$6:$Z$53")))*_xlfn.XLOOKUP($B39&amp;D$15,'Gas Useage'!$A$4:$A$15&amp;'Gas Useage'!$B$4:$B$15,_xlfn.XLOOKUP($C39&amp;D$14,'Gas Useage'!$C$2:$AB$2&amp;'Gas Useage'!$C$3:$AB$3,'Gas Useage'!$C$4:$AB$15))/_xlfn.XLOOKUP($B39&amp;D$15,'Gas Useage'!$A$4:$A$15&amp;'Gas Useage'!$B$4:$B$15,_xlfn.XLOOKUP(D$14,'Gas Useage'!$AA$3:$AB$3,'Gas Useage'!$AA$4:$AB$15)),"---")</f>
        <v>---</v>
      </c>
      <c r="E39" s="259" cm="1">
        <f t="array" aca="1" ref="E39" ca="1">IFERROR(_xlfn.XLOOKUP(E$13,INDIRECT("'"&amp;$B39&amp;" EI'!$B$6:$B$53"),_xlfn.XLOOKUP($C$10,INDIRECT("'"&amp;$B39&amp;" EI'!$D$4:$Z$4"),INDIRECT("'"&amp;$B39&amp;" EI'!$D$6:$Z$53")))*_xlfn.XLOOKUP($B39&amp;E$15,'Gas Useage'!$A$4:$A$15&amp;'Gas Useage'!$B$4:$B$15,_xlfn.XLOOKUP($C39&amp;E$14,'Gas Useage'!$C$2:$AB$2&amp;'Gas Useage'!$C$3:$AB$3,'Gas Useage'!$C$4:$AB$15))/_xlfn.XLOOKUP($B39&amp;E$15,'Gas Useage'!$A$4:$A$15&amp;'Gas Useage'!$B$4:$B$15,_xlfn.XLOOKUP(E$14,'Gas Useage'!$AA$3:$AB$3,'Gas Useage'!$AA$4:$AB$15)),"---")</f>
        <v>3.1550823264981751E-7</v>
      </c>
      <c r="F39" s="259" t="str" cm="1">
        <f t="array" aca="1" ref="F39" ca="1">IFERROR(_xlfn.XLOOKUP(F$13,INDIRECT("'"&amp;$B39&amp;" EI'!$B$6:$B$53"),_xlfn.XLOOKUP($C$10,INDIRECT("'"&amp;$B39&amp;" EI'!$D$4:$Z$4"),INDIRECT("'"&amp;$B39&amp;" EI'!$D$6:$Z$53")))*_xlfn.XLOOKUP($B39&amp;F$15,'Gas Useage'!$A$4:$A$15&amp;'Gas Useage'!$B$4:$B$15,_xlfn.XLOOKUP($C39&amp;F$14,'Gas Useage'!$C$2:$AB$2&amp;'Gas Useage'!$C$3:$AB$3,'Gas Useage'!$C$4:$AB$15))/_xlfn.XLOOKUP($B39&amp;F$15,'Gas Useage'!$A$4:$A$15&amp;'Gas Useage'!$B$4:$B$15,_xlfn.XLOOKUP(F$14,'Gas Useage'!$AA$3:$AB$3,'Gas Useage'!$AA$4:$AB$15)),"---")</f>
        <v>---</v>
      </c>
      <c r="G39" s="259" cm="1">
        <f t="array" aca="1" ref="G39" ca="1">IFERROR(_xlfn.XLOOKUP(G$13,INDIRECT("'"&amp;$B39&amp;" EI'!$B$6:$B$53"),_xlfn.XLOOKUP($C$10,INDIRECT("'"&amp;$B39&amp;" EI'!$D$4:$Z$4"),INDIRECT("'"&amp;$B39&amp;" EI'!$D$6:$Z$53")))*_xlfn.XLOOKUP($B39&amp;G$15,'Gas Useage'!$A$4:$A$15&amp;'Gas Useage'!$B$4:$B$15,_xlfn.XLOOKUP($C39&amp;G$14,'Gas Useage'!$C$2:$AB$2&amp;'Gas Useage'!$C$3:$AB$3,'Gas Useage'!$C$4:$AB$15))/_xlfn.XLOOKUP($B39&amp;G$15,'Gas Useage'!$A$4:$A$15&amp;'Gas Useage'!$B$4:$B$15,_xlfn.XLOOKUP(G$14,'Gas Useage'!$AA$3:$AB$3,'Gas Useage'!$AA$4:$AB$15)),"---")</f>
        <v>3.0645491177033916E-7</v>
      </c>
      <c r="H39" s="260" t="s">
        <v>278</v>
      </c>
      <c r="I39" s="260" t="s">
        <v>278</v>
      </c>
      <c r="J39" s="260" t="s">
        <v>278</v>
      </c>
      <c r="K39" s="261" t="s">
        <v>278</v>
      </c>
      <c r="N39" s="258"/>
    </row>
    <row r="40" spans="2:14" ht="13.5" x14ac:dyDescent="0.25">
      <c r="B40" s="32">
        <v>2022</v>
      </c>
      <c r="C40" s="494" t="s">
        <v>277</v>
      </c>
      <c r="D40" s="259" t="str" cm="1">
        <f t="array" aca="1" ref="D40" ca="1">IFERROR(_xlfn.XLOOKUP(D$13,INDIRECT("'"&amp;$B40&amp;" EI'!$B$6:$B$53"),_xlfn.XLOOKUP($C$10,INDIRECT("'"&amp;$B40&amp;" EI'!$D$4:$Z$4"),INDIRECT("'"&amp;$B40&amp;" EI'!$D$6:$Z$53")))*_xlfn.XLOOKUP($B40&amp;D$15,'Gas Useage'!$A$4:$A$15&amp;'Gas Useage'!$B$4:$B$15,_xlfn.XLOOKUP($C40&amp;D$14,'Gas Useage'!$C$2:$AB$2&amp;'Gas Useage'!$C$3:$AB$3,'Gas Useage'!$C$4:$AB$15))/_xlfn.XLOOKUP($B40&amp;D$15,'Gas Useage'!$A$4:$A$15&amp;'Gas Useage'!$B$4:$B$15,_xlfn.XLOOKUP(D$14,'Gas Useage'!$AA$3:$AB$3,'Gas Useage'!$AA$4:$AB$15)),"---")</f>
        <v>---</v>
      </c>
      <c r="E40" s="259" cm="1">
        <f t="array" aca="1" ref="E40" ca="1">IFERROR(_xlfn.XLOOKUP(E$13,INDIRECT("'"&amp;$B40&amp;" EI'!$B$6:$B$53"),_xlfn.XLOOKUP($C$10,INDIRECT("'"&amp;$B40&amp;" EI'!$D$4:$Z$4"),INDIRECT("'"&amp;$B40&amp;" EI'!$D$6:$Z$53")))*_xlfn.XLOOKUP($B40&amp;E$15,'Gas Useage'!$A$4:$A$15&amp;'Gas Useage'!$B$4:$B$15,_xlfn.XLOOKUP($C40&amp;E$14,'Gas Useage'!$C$2:$AB$2&amp;'Gas Useage'!$C$3:$AB$3,'Gas Useage'!$C$4:$AB$15))/_xlfn.XLOOKUP($B40&amp;E$15,'Gas Useage'!$A$4:$A$15&amp;'Gas Useage'!$B$4:$B$15,_xlfn.XLOOKUP(E$14,'Gas Useage'!$AA$3:$AB$3,'Gas Useage'!$AA$4:$AB$15)),"---")</f>
        <v>4.4691654958120712E-7</v>
      </c>
      <c r="F40" s="259" t="str" cm="1">
        <f t="array" aca="1" ref="F40" ca="1">IFERROR(_xlfn.XLOOKUP(F$13,INDIRECT("'"&amp;$B40&amp;" EI'!$B$6:$B$53"),_xlfn.XLOOKUP($C$10,INDIRECT("'"&amp;$B40&amp;" EI'!$D$4:$Z$4"),INDIRECT("'"&amp;$B40&amp;" EI'!$D$6:$Z$53")))*_xlfn.XLOOKUP($B40&amp;F$15,'Gas Useage'!$A$4:$A$15&amp;'Gas Useage'!$B$4:$B$15,_xlfn.XLOOKUP($C40&amp;F$14,'Gas Useage'!$C$2:$AB$2&amp;'Gas Useage'!$C$3:$AB$3,'Gas Useage'!$C$4:$AB$15))/_xlfn.XLOOKUP($B40&amp;F$15,'Gas Useage'!$A$4:$A$15&amp;'Gas Useage'!$B$4:$B$15,_xlfn.XLOOKUP(F$14,'Gas Useage'!$AA$3:$AB$3,'Gas Useage'!$AA$4:$AB$15)),"---")</f>
        <v>---</v>
      </c>
      <c r="G40" s="259" cm="1">
        <f t="array" aca="1" ref="G40" ca="1">IFERROR(_xlfn.XLOOKUP(G$13,INDIRECT("'"&amp;$B40&amp;" EI'!$B$6:$B$53"),_xlfn.XLOOKUP($C$10,INDIRECT("'"&amp;$B40&amp;" EI'!$D$4:$Z$4"),INDIRECT("'"&amp;$B40&amp;" EI'!$D$6:$Z$53")))*_xlfn.XLOOKUP($B40&amp;G$15,'Gas Useage'!$A$4:$A$15&amp;'Gas Useage'!$B$4:$B$15,_xlfn.XLOOKUP($C40&amp;G$14,'Gas Useage'!$C$2:$AB$2&amp;'Gas Useage'!$C$3:$AB$3,'Gas Useage'!$C$4:$AB$15))/_xlfn.XLOOKUP($B40&amp;G$15,'Gas Useage'!$A$4:$A$15&amp;'Gas Useage'!$B$4:$B$15,_xlfn.XLOOKUP(G$14,'Gas Useage'!$AA$3:$AB$3,'Gas Useage'!$AA$4:$AB$15)),"---")</f>
        <v>3.9738731510984534E-7</v>
      </c>
      <c r="H40" s="260" t="s">
        <v>278</v>
      </c>
      <c r="I40" s="260" t="s">
        <v>278</v>
      </c>
      <c r="J40" s="260" t="s">
        <v>278</v>
      </c>
      <c r="K40" s="261" t="s">
        <v>278</v>
      </c>
      <c r="N40" s="258"/>
    </row>
    <row r="41" spans="2:14" ht="13.5" x14ac:dyDescent="0.25">
      <c r="B41" s="32">
        <v>2022</v>
      </c>
      <c r="C41" s="494" t="s">
        <v>279</v>
      </c>
      <c r="D41" s="259" t="str" cm="1">
        <f t="array" aca="1" ref="D41" ca="1">IFERROR(_xlfn.XLOOKUP(D$13,INDIRECT("'"&amp;$B41&amp;" EI'!$B$6:$B$53"),_xlfn.XLOOKUP($C$10,INDIRECT("'"&amp;$B41&amp;" EI'!$D$4:$Z$4"),INDIRECT("'"&amp;$B41&amp;" EI'!$D$6:$Z$53")))*_xlfn.XLOOKUP($B41&amp;D$15,'Gas Useage'!$A$4:$A$15&amp;'Gas Useage'!$B$4:$B$15,_xlfn.XLOOKUP($C41&amp;D$14,'Gas Useage'!$C$2:$AB$2&amp;'Gas Useage'!$C$3:$AB$3,'Gas Useage'!$C$4:$AB$15))/_xlfn.XLOOKUP($B41&amp;D$15,'Gas Useage'!$A$4:$A$15&amp;'Gas Useage'!$B$4:$B$15,_xlfn.XLOOKUP(D$14,'Gas Useage'!$AA$3:$AB$3,'Gas Useage'!$AA$4:$AB$15)),"---")</f>
        <v>---</v>
      </c>
      <c r="E41" s="259" cm="1">
        <f t="array" aca="1" ref="E41" ca="1">IFERROR(_xlfn.XLOOKUP(E$13,INDIRECT("'"&amp;$B41&amp;" EI'!$B$6:$B$53"),_xlfn.XLOOKUP($C$10,INDIRECT("'"&amp;$B41&amp;" EI'!$D$4:$Z$4"),INDIRECT("'"&amp;$B41&amp;" EI'!$D$6:$Z$53")))*_xlfn.XLOOKUP($B41&amp;E$15,'Gas Useage'!$A$4:$A$15&amp;'Gas Useage'!$B$4:$B$15,_xlfn.XLOOKUP($C41&amp;E$14,'Gas Useage'!$C$2:$AB$2&amp;'Gas Useage'!$C$3:$AB$3,'Gas Useage'!$C$4:$AB$15))/_xlfn.XLOOKUP($B41&amp;E$15,'Gas Useage'!$A$4:$A$15&amp;'Gas Useage'!$B$4:$B$15,_xlfn.XLOOKUP(E$14,'Gas Useage'!$AA$3:$AB$3,'Gas Useage'!$AA$4:$AB$15)),"---")</f>
        <v>3.8116630421814693E-7</v>
      </c>
      <c r="F41" s="259" t="str" cm="1">
        <f t="array" aca="1" ref="F41" ca="1">IFERROR(_xlfn.XLOOKUP(F$13,INDIRECT("'"&amp;$B41&amp;" EI'!$B$6:$B$53"),_xlfn.XLOOKUP($C$10,INDIRECT("'"&amp;$B41&amp;" EI'!$D$4:$Z$4"),INDIRECT("'"&amp;$B41&amp;" EI'!$D$6:$Z$53")))*_xlfn.XLOOKUP($B41&amp;F$15,'Gas Useage'!$A$4:$A$15&amp;'Gas Useage'!$B$4:$B$15,_xlfn.XLOOKUP($C41&amp;F$14,'Gas Useage'!$C$2:$AB$2&amp;'Gas Useage'!$C$3:$AB$3,'Gas Useage'!$C$4:$AB$15))/_xlfn.XLOOKUP($B41&amp;F$15,'Gas Useage'!$A$4:$A$15&amp;'Gas Useage'!$B$4:$B$15,_xlfn.XLOOKUP(F$14,'Gas Useage'!$AA$3:$AB$3,'Gas Useage'!$AA$4:$AB$15)),"---")</f>
        <v>---</v>
      </c>
      <c r="G41" s="259" cm="1">
        <f t="array" aca="1" ref="G41" ca="1">IFERROR(_xlfn.XLOOKUP(G$13,INDIRECT("'"&amp;$B41&amp;" EI'!$B$6:$B$53"),_xlfn.XLOOKUP($C$10,INDIRECT("'"&amp;$B41&amp;" EI'!$D$4:$Z$4"),INDIRECT("'"&amp;$B41&amp;" EI'!$D$6:$Z$53")))*_xlfn.XLOOKUP($B41&amp;G$15,'Gas Useage'!$A$4:$A$15&amp;'Gas Useage'!$B$4:$B$15,_xlfn.XLOOKUP($C41&amp;G$14,'Gas Useage'!$C$2:$AB$2&amp;'Gas Useage'!$C$3:$AB$3,'Gas Useage'!$C$4:$AB$15))/_xlfn.XLOOKUP($B41&amp;G$15,'Gas Useage'!$A$4:$A$15&amp;'Gas Useage'!$B$4:$B$15,_xlfn.XLOOKUP(G$14,'Gas Useage'!$AA$3:$AB$3,'Gas Useage'!$AA$4:$AB$15)),"---")</f>
        <v>2.5561556989017845E-7</v>
      </c>
      <c r="H41" s="260" t="s">
        <v>278</v>
      </c>
      <c r="I41" s="260" t="s">
        <v>278</v>
      </c>
      <c r="J41" s="260" t="s">
        <v>278</v>
      </c>
      <c r="K41" s="261" t="s">
        <v>278</v>
      </c>
      <c r="N41" s="258"/>
    </row>
    <row r="42" spans="2:14" ht="13.5" x14ac:dyDescent="0.25">
      <c r="B42" s="32">
        <v>2022</v>
      </c>
      <c r="C42" s="494" t="s">
        <v>280</v>
      </c>
      <c r="D42" s="259" t="str" cm="1">
        <f t="array" aca="1" ref="D42" ca="1">IFERROR(_xlfn.XLOOKUP(D$13,INDIRECT("'"&amp;$B42&amp;" EI'!$B$6:$B$53"),_xlfn.XLOOKUP($C$10,INDIRECT("'"&amp;$B42&amp;" EI'!$D$4:$Z$4"),INDIRECT("'"&amp;$B42&amp;" EI'!$D$6:$Z$53")))*_xlfn.XLOOKUP($B42&amp;D$15,'Gas Useage'!$A$4:$A$15&amp;'Gas Useage'!$B$4:$B$15,_xlfn.XLOOKUP($C42&amp;D$14,'Gas Useage'!$C$2:$AB$2&amp;'Gas Useage'!$C$3:$AB$3,'Gas Useage'!$C$4:$AB$15))/_xlfn.XLOOKUP($B42&amp;D$15,'Gas Useage'!$A$4:$A$15&amp;'Gas Useage'!$B$4:$B$15,_xlfn.XLOOKUP(D$14,'Gas Useage'!$AA$3:$AB$3,'Gas Useage'!$AA$4:$AB$15)),"---")</f>
        <v>---</v>
      </c>
      <c r="E42" s="259" cm="1">
        <f t="array" aca="1" ref="E42" ca="1">IFERROR(_xlfn.XLOOKUP(E$13,INDIRECT("'"&amp;$B42&amp;" EI'!$B$6:$B$53"),_xlfn.XLOOKUP($C$10,INDIRECT("'"&amp;$B42&amp;" EI'!$D$4:$Z$4"),INDIRECT("'"&amp;$B42&amp;" EI'!$D$6:$Z$53")))*_xlfn.XLOOKUP($B42&amp;E$15,'Gas Useage'!$A$4:$A$15&amp;'Gas Useage'!$B$4:$B$15,_xlfn.XLOOKUP($C42&amp;E$14,'Gas Useage'!$C$2:$AB$2&amp;'Gas Useage'!$C$3:$AB$3,'Gas Useage'!$C$4:$AB$15))/_xlfn.XLOOKUP($B42&amp;E$15,'Gas Useage'!$A$4:$A$15&amp;'Gas Useage'!$B$4:$B$15,_xlfn.XLOOKUP(E$14,'Gas Useage'!$AA$3:$AB$3,'Gas Useage'!$AA$4:$AB$15)),"---")</f>
        <v>3.9537790104570383E-7</v>
      </c>
      <c r="F42" s="259" t="str" cm="1">
        <f t="array" aca="1" ref="F42" ca="1">IFERROR(_xlfn.XLOOKUP(F$13,INDIRECT("'"&amp;$B42&amp;" EI'!$B$6:$B$53"),_xlfn.XLOOKUP($C$10,INDIRECT("'"&amp;$B42&amp;" EI'!$D$4:$Z$4"),INDIRECT("'"&amp;$B42&amp;" EI'!$D$6:$Z$53")))*_xlfn.XLOOKUP($B42&amp;F$15,'Gas Useage'!$A$4:$A$15&amp;'Gas Useage'!$B$4:$B$15,_xlfn.XLOOKUP($C42&amp;F$14,'Gas Useage'!$C$2:$AB$2&amp;'Gas Useage'!$C$3:$AB$3,'Gas Useage'!$C$4:$AB$15))/_xlfn.XLOOKUP($B42&amp;F$15,'Gas Useage'!$A$4:$A$15&amp;'Gas Useage'!$B$4:$B$15,_xlfn.XLOOKUP(F$14,'Gas Useage'!$AA$3:$AB$3,'Gas Useage'!$AA$4:$AB$15)),"---")</f>
        <v>---</v>
      </c>
      <c r="G42" s="259" cm="1">
        <f t="array" aca="1" ref="G42" ca="1">IFERROR(_xlfn.XLOOKUP(G$13,INDIRECT("'"&amp;$B42&amp;" EI'!$B$6:$B$53"),_xlfn.XLOOKUP($C$10,INDIRECT("'"&amp;$B42&amp;" EI'!$D$4:$Z$4"),INDIRECT("'"&amp;$B42&amp;" EI'!$D$6:$Z$53")))*_xlfn.XLOOKUP($B42&amp;G$15,'Gas Useage'!$A$4:$A$15&amp;'Gas Useage'!$B$4:$B$15,_xlfn.XLOOKUP($C42&amp;G$14,'Gas Useage'!$C$2:$AB$2&amp;'Gas Useage'!$C$3:$AB$3,'Gas Useage'!$C$4:$AB$15))/_xlfn.XLOOKUP($B42&amp;G$15,'Gas Useage'!$A$4:$A$15&amp;'Gas Useage'!$B$4:$B$15,_xlfn.XLOOKUP(G$14,'Gas Useage'!$AA$3:$AB$3,'Gas Useage'!$AA$4:$AB$15)),"---")</f>
        <v>1.8731747984368886E-7</v>
      </c>
      <c r="H42" s="260" t="s">
        <v>278</v>
      </c>
      <c r="I42" s="260" t="s">
        <v>278</v>
      </c>
      <c r="J42" s="260" t="s">
        <v>278</v>
      </c>
      <c r="K42" s="261" t="s">
        <v>278</v>
      </c>
      <c r="N42" s="258"/>
    </row>
    <row r="43" spans="2:14" ht="13.5" x14ac:dyDescent="0.25">
      <c r="B43" s="32">
        <v>2022</v>
      </c>
      <c r="C43" s="494" t="s">
        <v>281</v>
      </c>
      <c r="D43" s="259" t="str" cm="1">
        <f t="array" aca="1" ref="D43" ca="1">IFERROR(_xlfn.XLOOKUP(D$13,INDIRECT("'"&amp;$B43&amp;" EI'!$B$6:$B$53"),_xlfn.XLOOKUP($C$10,INDIRECT("'"&amp;$B43&amp;" EI'!$D$4:$Z$4"),INDIRECT("'"&amp;$B43&amp;" EI'!$D$6:$Z$53")))*_xlfn.XLOOKUP($B43&amp;D$15,'Gas Useage'!$A$4:$A$15&amp;'Gas Useage'!$B$4:$B$15,_xlfn.XLOOKUP($C43&amp;D$14,'Gas Useage'!$C$2:$AB$2&amp;'Gas Useage'!$C$3:$AB$3,'Gas Useage'!$C$4:$AB$15))/_xlfn.XLOOKUP($B43&amp;D$15,'Gas Useage'!$A$4:$A$15&amp;'Gas Useage'!$B$4:$B$15,_xlfn.XLOOKUP(D$14,'Gas Useage'!$AA$3:$AB$3,'Gas Useage'!$AA$4:$AB$15)),"---")</f>
        <v>---</v>
      </c>
      <c r="E43" s="259" cm="1">
        <f t="array" aca="1" ref="E43" ca="1">IFERROR(_xlfn.XLOOKUP(E$13,INDIRECT("'"&amp;$B43&amp;" EI'!$B$6:$B$53"),_xlfn.XLOOKUP($C$10,INDIRECT("'"&amp;$B43&amp;" EI'!$D$4:$Z$4"),INDIRECT("'"&amp;$B43&amp;" EI'!$D$6:$Z$53")))*_xlfn.XLOOKUP($B43&amp;E$15,'Gas Useage'!$A$4:$A$15&amp;'Gas Useage'!$B$4:$B$15,_xlfn.XLOOKUP($C43&amp;E$14,'Gas Useage'!$C$2:$AB$2&amp;'Gas Useage'!$C$3:$AB$3,'Gas Useage'!$C$4:$AB$15))/_xlfn.XLOOKUP($B43&amp;E$15,'Gas Useage'!$A$4:$A$15&amp;'Gas Useage'!$B$4:$B$15,_xlfn.XLOOKUP(E$14,'Gas Useage'!$AA$3:$AB$3,'Gas Useage'!$AA$4:$AB$15)),"---")</f>
        <v>4.4745210609667279E-7</v>
      </c>
      <c r="F43" s="259" t="str" cm="1">
        <f t="array" aca="1" ref="F43" ca="1">IFERROR(_xlfn.XLOOKUP(F$13,INDIRECT("'"&amp;$B43&amp;" EI'!$B$6:$B$53"),_xlfn.XLOOKUP($C$10,INDIRECT("'"&amp;$B43&amp;" EI'!$D$4:$Z$4"),INDIRECT("'"&amp;$B43&amp;" EI'!$D$6:$Z$53")))*_xlfn.XLOOKUP($B43&amp;F$15,'Gas Useage'!$A$4:$A$15&amp;'Gas Useage'!$B$4:$B$15,_xlfn.XLOOKUP($C43&amp;F$14,'Gas Useage'!$C$2:$AB$2&amp;'Gas Useage'!$C$3:$AB$3,'Gas Useage'!$C$4:$AB$15))/_xlfn.XLOOKUP($B43&amp;F$15,'Gas Useage'!$A$4:$A$15&amp;'Gas Useage'!$B$4:$B$15,_xlfn.XLOOKUP(F$14,'Gas Useage'!$AA$3:$AB$3,'Gas Useage'!$AA$4:$AB$15)),"---")</f>
        <v>---</v>
      </c>
      <c r="G43" s="259" cm="1">
        <f t="array" aca="1" ref="G43" ca="1">IFERROR(_xlfn.XLOOKUP(G$13,INDIRECT("'"&amp;$B43&amp;" EI'!$B$6:$B$53"),_xlfn.XLOOKUP($C$10,INDIRECT("'"&amp;$B43&amp;" EI'!$D$4:$Z$4"),INDIRECT("'"&amp;$B43&amp;" EI'!$D$6:$Z$53")))*_xlfn.XLOOKUP($B43&amp;G$15,'Gas Useage'!$A$4:$A$15&amp;'Gas Useage'!$B$4:$B$15,_xlfn.XLOOKUP($C43&amp;G$14,'Gas Useage'!$C$2:$AB$2&amp;'Gas Useage'!$C$3:$AB$3,'Gas Useage'!$C$4:$AB$15))/_xlfn.XLOOKUP($B43&amp;G$15,'Gas Useage'!$A$4:$A$15&amp;'Gas Useage'!$B$4:$B$15,_xlfn.XLOOKUP(G$14,'Gas Useage'!$AA$3:$AB$3,'Gas Useage'!$AA$4:$AB$15)),"---")</f>
        <v>3.6088116139448412E-7</v>
      </c>
      <c r="H43" s="260" t="s">
        <v>278</v>
      </c>
      <c r="I43" s="260" t="s">
        <v>278</v>
      </c>
      <c r="J43" s="260" t="s">
        <v>278</v>
      </c>
      <c r="K43" s="261" t="s">
        <v>278</v>
      </c>
      <c r="N43" s="258"/>
    </row>
    <row r="44" spans="2:14" ht="13.5" x14ac:dyDescent="0.25">
      <c r="B44" s="32">
        <v>2022</v>
      </c>
      <c r="C44" s="494" t="s">
        <v>282</v>
      </c>
      <c r="D44" s="259" t="str" cm="1">
        <f t="array" aca="1" ref="D44" ca="1">IFERROR(_xlfn.XLOOKUP(D$13,INDIRECT("'"&amp;$B44&amp;" EI'!$B$6:$B$53"),_xlfn.XLOOKUP($C$10,INDIRECT("'"&amp;$B44&amp;" EI'!$D$4:$Z$4"),INDIRECT("'"&amp;$B44&amp;" EI'!$D$6:$Z$53")))*_xlfn.XLOOKUP($B44&amp;D$15,'Gas Useage'!$A$4:$A$15&amp;'Gas Useage'!$B$4:$B$15,_xlfn.XLOOKUP($C44&amp;D$14,'Gas Useage'!$C$2:$AB$2&amp;'Gas Useage'!$C$3:$AB$3,'Gas Useage'!$C$4:$AB$15))/_xlfn.XLOOKUP($B44&amp;D$15,'Gas Useage'!$A$4:$A$15&amp;'Gas Useage'!$B$4:$B$15,_xlfn.XLOOKUP(D$14,'Gas Useage'!$AA$3:$AB$3,'Gas Useage'!$AA$4:$AB$15)),"---")</f>
        <v>---</v>
      </c>
      <c r="E44" s="259" cm="1">
        <f t="array" aca="1" ref="E44" ca="1">IFERROR(_xlfn.XLOOKUP(E$13,INDIRECT("'"&amp;$B44&amp;" EI'!$B$6:$B$53"),_xlfn.XLOOKUP($C$10,INDIRECT("'"&amp;$B44&amp;" EI'!$D$4:$Z$4"),INDIRECT("'"&amp;$B44&amp;" EI'!$D$6:$Z$53")))*_xlfn.XLOOKUP($B44&amp;E$15,'Gas Useage'!$A$4:$A$15&amp;'Gas Useage'!$B$4:$B$15,_xlfn.XLOOKUP($C44&amp;E$14,'Gas Useage'!$C$2:$AB$2&amp;'Gas Useage'!$C$3:$AB$3,'Gas Useage'!$C$4:$AB$15))/_xlfn.XLOOKUP($B44&amp;E$15,'Gas Useage'!$A$4:$A$15&amp;'Gas Useage'!$B$4:$B$15,_xlfn.XLOOKUP(E$14,'Gas Useage'!$AA$3:$AB$3,'Gas Useage'!$AA$4:$AB$15)),"---")</f>
        <v>3.2063549479202896E-7</v>
      </c>
      <c r="F44" s="259" t="str" cm="1">
        <f t="array" aca="1" ref="F44" ca="1">IFERROR(_xlfn.XLOOKUP(F$13,INDIRECT("'"&amp;$B44&amp;" EI'!$B$6:$B$53"),_xlfn.XLOOKUP($C$10,INDIRECT("'"&amp;$B44&amp;" EI'!$D$4:$Z$4"),INDIRECT("'"&amp;$B44&amp;" EI'!$D$6:$Z$53")))*_xlfn.XLOOKUP($B44&amp;F$15,'Gas Useage'!$A$4:$A$15&amp;'Gas Useage'!$B$4:$B$15,_xlfn.XLOOKUP($C44&amp;F$14,'Gas Useage'!$C$2:$AB$2&amp;'Gas Useage'!$C$3:$AB$3,'Gas Useage'!$C$4:$AB$15))/_xlfn.XLOOKUP($B44&amp;F$15,'Gas Useage'!$A$4:$A$15&amp;'Gas Useage'!$B$4:$B$15,_xlfn.XLOOKUP(F$14,'Gas Useage'!$AA$3:$AB$3,'Gas Useage'!$AA$4:$AB$15)),"---")</f>
        <v>---</v>
      </c>
      <c r="G44" s="259" cm="1">
        <f t="array" aca="1" ref="G44" ca="1">IFERROR(_xlfn.XLOOKUP(G$13,INDIRECT("'"&amp;$B44&amp;" EI'!$B$6:$B$53"),_xlfn.XLOOKUP($C$10,INDIRECT("'"&amp;$B44&amp;" EI'!$D$4:$Z$4"),INDIRECT("'"&amp;$B44&amp;" EI'!$D$6:$Z$53")))*_xlfn.XLOOKUP($B44&amp;G$15,'Gas Useage'!$A$4:$A$15&amp;'Gas Useage'!$B$4:$B$15,_xlfn.XLOOKUP($C44&amp;G$14,'Gas Useage'!$C$2:$AB$2&amp;'Gas Useage'!$C$3:$AB$3,'Gas Useage'!$C$4:$AB$15))/_xlfn.XLOOKUP($B44&amp;G$15,'Gas Useage'!$A$4:$A$15&amp;'Gas Useage'!$B$4:$B$15,_xlfn.XLOOKUP(G$14,'Gas Useage'!$AA$3:$AB$3,'Gas Useage'!$AA$4:$AB$15)),"---")</f>
        <v>1.8585904243895036E-7</v>
      </c>
      <c r="H44" s="260" t="s">
        <v>278</v>
      </c>
      <c r="I44" s="260" t="s">
        <v>278</v>
      </c>
      <c r="J44" s="260" t="s">
        <v>278</v>
      </c>
      <c r="K44" s="261" t="s">
        <v>278</v>
      </c>
      <c r="N44" s="258"/>
    </row>
    <row r="45" spans="2:14" ht="13.5" x14ac:dyDescent="0.25">
      <c r="B45" s="32">
        <v>2022</v>
      </c>
      <c r="C45" s="494" t="s">
        <v>283</v>
      </c>
      <c r="D45" s="259" t="str" cm="1">
        <f t="array" aca="1" ref="D45" ca="1">IFERROR(_xlfn.XLOOKUP(D$13,INDIRECT("'"&amp;$B45&amp;" EI'!$B$6:$B$53"),_xlfn.XLOOKUP($C$10,INDIRECT("'"&amp;$B45&amp;" EI'!$D$4:$Z$4"),INDIRECT("'"&amp;$B45&amp;" EI'!$D$6:$Z$53")))*_xlfn.XLOOKUP($B45&amp;D$15,'Gas Useage'!$A$4:$A$15&amp;'Gas Useage'!$B$4:$B$15,_xlfn.XLOOKUP($C45&amp;D$14,'Gas Useage'!$C$2:$AB$2&amp;'Gas Useage'!$C$3:$AB$3,'Gas Useage'!$C$4:$AB$15))/_xlfn.XLOOKUP($B45&amp;D$15,'Gas Useage'!$A$4:$A$15&amp;'Gas Useage'!$B$4:$B$15,_xlfn.XLOOKUP(D$14,'Gas Useage'!$AA$3:$AB$3,'Gas Useage'!$AA$4:$AB$15)),"---")</f>
        <v>---</v>
      </c>
      <c r="E45" s="259" cm="1">
        <f t="array" aca="1" ref="E45" ca="1">IFERROR(_xlfn.XLOOKUP(E$13,INDIRECT("'"&amp;$B45&amp;" EI'!$B$6:$B$53"),_xlfn.XLOOKUP($C$10,INDIRECT("'"&amp;$B45&amp;" EI'!$D$4:$Z$4"),INDIRECT("'"&amp;$B45&amp;" EI'!$D$6:$Z$53")))*_xlfn.XLOOKUP($B45&amp;E$15,'Gas Useage'!$A$4:$A$15&amp;'Gas Useage'!$B$4:$B$15,_xlfn.XLOOKUP($C45&amp;E$14,'Gas Useage'!$C$2:$AB$2&amp;'Gas Useage'!$C$3:$AB$3,'Gas Useage'!$C$4:$AB$15))/_xlfn.XLOOKUP($B45&amp;E$15,'Gas Useage'!$A$4:$A$15&amp;'Gas Useage'!$B$4:$B$15,_xlfn.XLOOKUP(E$14,'Gas Useage'!$AA$3:$AB$3,'Gas Useage'!$AA$4:$AB$15)),"---")</f>
        <v>8.55291551176879E-8</v>
      </c>
      <c r="F45" s="259" t="str" cm="1">
        <f t="array" aca="1" ref="F45" ca="1">IFERROR(_xlfn.XLOOKUP(F$13,INDIRECT("'"&amp;$B45&amp;" EI'!$B$6:$B$53"),_xlfn.XLOOKUP($C$10,INDIRECT("'"&amp;$B45&amp;" EI'!$D$4:$Z$4"),INDIRECT("'"&amp;$B45&amp;" EI'!$D$6:$Z$53")))*_xlfn.XLOOKUP($B45&amp;F$15,'Gas Useage'!$A$4:$A$15&amp;'Gas Useage'!$B$4:$B$15,_xlfn.XLOOKUP($C45&amp;F$14,'Gas Useage'!$C$2:$AB$2&amp;'Gas Useage'!$C$3:$AB$3,'Gas Useage'!$C$4:$AB$15))/_xlfn.XLOOKUP($B45&amp;F$15,'Gas Useage'!$A$4:$A$15&amp;'Gas Useage'!$B$4:$B$15,_xlfn.XLOOKUP(F$14,'Gas Useage'!$AA$3:$AB$3,'Gas Useage'!$AA$4:$AB$15)),"---")</f>
        <v>---</v>
      </c>
      <c r="G45" s="259" cm="1">
        <f t="array" aca="1" ref="G45" ca="1">IFERROR(_xlfn.XLOOKUP(G$13,INDIRECT("'"&amp;$B45&amp;" EI'!$B$6:$B$53"),_xlfn.XLOOKUP($C$10,INDIRECT("'"&amp;$B45&amp;" EI'!$D$4:$Z$4"),INDIRECT("'"&amp;$B45&amp;" EI'!$D$6:$Z$53")))*_xlfn.XLOOKUP($B45&amp;G$15,'Gas Useage'!$A$4:$A$15&amp;'Gas Useage'!$B$4:$B$15,_xlfn.XLOOKUP($C45&amp;G$14,'Gas Useage'!$C$2:$AB$2&amp;'Gas Useage'!$C$3:$AB$3,'Gas Useage'!$C$4:$AB$15))/_xlfn.XLOOKUP($B45&amp;G$15,'Gas Useage'!$A$4:$A$15&amp;'Gas Useage'!$B$4:$B$15,_xlfn.XLOOKUP(G$14,'Gas Useage'!$AA$3:$AB$3,'Gas Useage'!$AA$4:$AB$15)),"---")</f>
        <v>5.9153769114643233E-8</v>
      </c>
      <c r="H45" s="260" t="s">
        <v>278</v>
      </c>
      <c r="I45" s="260" t="s">
        <v>278</v>
      </c>
      <c r="J45" s="260" t="s">
        <v>278</v>
      </c>
      <c r="K45" s="261" t="s">
        <v>278</v>
      </c>
      <c r="N45" s="258"/>
    </row>
    <row r="46" spans="2:14" ht="13.5" x14ac:dyDescent="0.25">
      <c r="B46" s="32">
        <v>2022</v>
      </c>
      <c r="C46" s="494" t="s">
        <v>284</v>
      </c>
      <c r="D46" s="259" t="str" cm="1">
        <f t="array" aca="1" ref="D46" ca="1">IFERROR(_xlfn.XLOOKUP(D$13,INDIRECT("'"&amp;$B46&amp;" EI'!$B$6:$B$53"),_xlfn.XLOOKUP($C$10,INDIRECT("'"&amp;$B46&amp;" EI'!$D$4:$Z$4"),INDIRECT("'"&amp;$B46&amp;" EI'!$D$6:$Z$53")))*_xlfn.XLOOKUP($B46&amp;D$15,'Gas Useage'!$A$4:$A$15&amp;'Gas Useage'!$B$4:$B$15,_xlfn.XLOOKUP($C46&amp;D$14,'Gas Useage'!$C$2:$AB$2&amp;'Gas Useage'!$C$3:$AB$3,'Gas Useage'!$C$4:$AB$15))/_xlfn.XLOOKUP($B46&amp;D$15,'Gas Useage'!$A$4:$A$15&amp;'Gas Useage'!$B$4:$B$15,_xlfn.XLOOKUP(D$14,'Gas Useage'!$AA$3:$AB$3,'Gas Useage'!$AA$4:$AB$15)),"---")</f>
        <v>---</v>
      </c>
      <c r="E46" s="259" cm="1">
        <f t="array" aca="1" ref="E46" ca="1">IFERROR(_xlfn.XLOOKUP(E$13,INDIRECT("'"&amp;$B46&amp;" EI'!$B$6:$B$53"),_xlfn.XLOOKUP($C$10,INDIRECT("'"&amp;$B46&amp;" EI'!$D$4:$Z$4"),INDIRECT("'"&amp;$B46&amp;" EI'!$D$6:$Z$53")))*_xlfn.XLOOKUP($B46&amp;E$15,'Gas Useage'!$A$4:$A$15&amp;'Gas Useage'!$B$4:$B$15,_xlfn.XLOOKUP($C46&amp;E$14,'Gas Useage'!$C$2:$AB$2&amp;'Gas Useage'!$C$3:$AB$3,'Gas Useage'!$C$4:$AB$15))/_xlfn.XLOOKUP($B46&amp;E$15,'Gas Useage'!$A$4:$A$15&amp;'Gas Useage'!$B$4:$B$15,_xlfn.XLOOKUP(E$14,'Gas Useage'!$AA$3:$AB$3,'Gas Useage'!$AA$4:$AB$15)),"---")</f>
        <v>2.8564481127487431E-7</v>
      </c>
      <c r="F46" s="259" t="str" cm="1">
        <f t="array" aca="1" ref="F46" ca="1">IFERROR(_xlfn.XLOOKUP(F$13,INDIRECT("'"&amp;$B46&amp;" EI'!$B$6:$B$53"),_xlfn.XLOOKUP($C$10,INDIRECT("'"&amp;$B46&amp;" EI'!$D$4:$Z$4"),INDIRECT("'"&amp;$B46&amp;" EI'!$D$6:$Z$53")))*_xlfn.XLOOKUP($B46&amp;F$15,'Gas Useage'!$A$4:$A$15&amp;'Gas Useage'!$B$4:$B$15,_xlfn.XLOOKUP($C46&amp;F$14,'Gas Useage'!$C$2:$AB$2&amp;'Gas Useage'!$C$3:$AB$3,'Gas Useage'!$C$4:$AB$15))/_xlfn.XLOOKUP($B46&amp;F$15,'Gas Useage'!$A$4:$A$15&amp;'Gas Useage'!$B$4:$B$15,_xlfn.XLOOKUP(F$14,'Gas Useage'!$AA$3:$AB$3,'Gas Useage'!$AA$4:$AB$15)),"---")</f>
        <v>---</v>
      </c>
      <c r="G46" s="259" cm="1">
        <f t="array" aca="1" ref="G46" ca="1">IFERROR(_xlfn.XLOOKUP(G$13,INDIRECT("'"&amp;$B46&amp;" EI'!$B$6:$B$53"),_xlfn.XLOOKUP($C$10,INDIRECT("'"&amp;$B46&amp;" EI'!$D$4:$Z$4"),INDIRECT("'"&amp;$B46&amp;" EI'!$D$6:$Z$53")))*_xlfn.XLOOKUP($B46&amp;G$15,'Gas Useage'!$A$4:$A$15&amp;'Gas Useage'!$B$4:$B$15,_xlfn.XLOOKUP($C46&amp;G$14,'Gas Useage'!$C$2:$AB$2&amp;'Gas Useage'!$C$3:$AB$3,'Gas Useage'!$C$4:$AB$15))/_xlfn.XLOOKUP($B46&amp;G$15,'Gas Useage'!$A$4:$A$15&amp;'Gas Useage'!$B$4:$B$15,_xlfn.XLOOKUP(G$14,'Gas Useage'!$AA$3:$AB$3,'Gas Useage'!$AA$4:$AB$15)),"---")</f>
        <v>2.7000891306970276E-7</v>
      </c>
      <c r="H46" s="260" t="s">
        <v>278</v>
      </c>
      <c r="I46" s="260" t="s">
        <v>278</v>
      </c>
      <c r="J46" s="260" t="s">
        <v>278</v>
      </c>
      <c r="K46" s="261" t="s">
        <v>278</v>
      </c>
      <c r="N46" s="258"/>
    </row>
    <row r="47" spans="2:14" ht="13.5" x14ac:dyDescent="0.25">
      <c r="B47" s="32">
        <v>2022</v>
      </c>
      <c r="C47" s="494" t="s">
        <v>285</v>
      </c>
      <c r="D47" s="259" t="str" cm="1">
        <f t="array" aca="1" ref="D47" ca="1">IFERROR(_xlfn.XLOOKUP(D$13,INDIRECT("'"&amp;$B47&amp;" EI'!$B$6:$B$53"),_xlfn.XLOOKUP($C$10,INDIRECT("'"&amp;$B47&amp;" EI'!$D$4:$Z$4"),INDIRECT("'"&amp;$B47&amp;" EI'!$D$6:$Z$53")))*_xlfn.XLOOKUP($B47&amp;D$15,'Gas Useage'!$A$4:$A$15&amp;'Gas Useage'!$B$4:$B$15,_xlfn.XLOOKUP($C47&amp;D$14,'Gas Useage'!$C$2:$AB$2&amp;'Gas Useage'!$C$3:$AB$3,'Gas Useage'!$C$4:$AB$15))/_xlfn.XLOOKUP($B47&amp;D$15,'Gas Useage'!$A$4:$A$15&amp;'Gas Useage'!$B$4:$B$15,_xlfn.XLOOKUP(D$14,'Gas Useage'!$AA$3:$AB$3,'Gas Useage'!$AA$4:$AB$15)),"---")</f>
        <v>---</v>
      </c>
      <c r="E47" s="259" cm="1">
        <f t="array" aca="1" ref="E47" ca="1">IFERROR(_xlfn.XLOOKUP(E$13,INDIRECT("'"&amp;$B47&amp;" EI'!$B$6:$B$53"),_xlfn.XLOOKUP($C$10,INDIRECT("'"&amp;$B47&amp;" EI'!$D$4:$Z$4"),INDIRECT("'"&amp;$B47&amp;" EI'!$D$6:$Z$53")))*_xlfn.XLOOKUP($B47&amp;E$15,'Gas Useage'!$A$4:$A$15&amp;'Gas Useage'!$B$4:$B$15,_xlfn.XLOOKUP($C47&amp;E$14,'Gas Useage'!$C$2:$AB$2&amp;'Gas Useage'!$C$3:$AB$3,'Gas Useage'!$C$4:$AB$15))/_xlfn.XLOOKUP($B47&amp;E$15,'Gas Useage'!$A$4:$A$15&amp;'Gas Useage'!$B$4:$B$15,_xlfn.XLOOKUP(E$14,'Gas Useage'!$AA$3:$AB$3,'Gas Useage'!$AA$4:$AB$15)),"---")</f>
        <v>5.1257235061717588E-7</v>
      </c>
      <c r="F47" s="259" t="str" cm="1">
        <f t="array" aca="1" ref="F47" ca="1">IFERROR(_xlfn.XLOOKUP(F$13,INDIRECT("'"&amp;$B47&amp;" EI'!$B$6:$B$53"),_xlfn.XLOOKUP($C$10,INDIRECT("'"&amp;$B47&amp;" EI'!$D$4:$Z$4"),INDIRECT("'"&amp;$B47&amp;" EI'!$D$6:$Z$53")))*_xlfn.XLOOKUP($B47&amp;F$15,'Gas Useage'!$A$4:$A$15&amp;'Gas Useage'!$B$4:$B$15,_xlfn.XLOOKUP($C47&amp;F$14,'Gas Useage'!$C$2:$AB$2&amp;'Gas Useage'!$C$3:$AB$3,'Gas Useage'!$C$4:$AB$15))/_xlfn.XLOOKUP($B47&amp;F$15,'Gas Useage'!$A$4:$A$15&amp;'Gas Useage'!$B$4:$B$15,_xlfn.XLOOKUP(F$14,'Gas Useage'!$AA$3:$AB$3,'Gas Useage'!$AA$4:$AB$15)),"---")</f>
        <v>---</v>
      </c>
      <c r="G47" s="259" cm="1">
        <f t="array" aca="1" ref="G47" ca="1">IFERROR(_xlfn.XLOOKUP(G$13,INDIRECT("'"&amp;$B47&amp;" EI'!$B$6:$B$53"),_xlfn.XLOOKUP($C$10,INDIRECT("'"&amp;$B47&amp;" EI'!$D$4:$Z$4"),INDIRECT("'"&amp;$B47&amp;" EI'!$D$6:$Z$53")))*_xlfn.XLOOKUP($B47&amp;G$15,'Gas Useage'!$A$4:$A$15&amp;'Gas Useage'!$B$4:$B$15,_xlfn.XLOOKUP($C47&amp;G$14,'Gas Useage'!$C$2:$AB$2&amp;'Gas Useage'!$C$3:$AB$3,'Gas Useage'!$C$4:$AB$15))/_xlfn.XLOOKUP($B47&amp;G$15,'Gas Useage'!$A$4:$A$15&amp;'Gas Useage'!$B$4:$B$15,_xlfn.XLOOKUP(G$14,'Gas Useage'!$AA$3:$AB$3,'Gas Useage'!$AA$4:$AB$15)),"---")</f>
        <v>3.7238901152988499E-7</v>
      </c>
      <c r="H47" s="260" t="s">
        <v>278</v>
      </c>
      <c r="I47" s="260" t="s">
        <v>278</v>
      </c>
      <c r="J47" s="260" t="s">
        <v>278</v>
      </c>
      <c r="K47" s="261" t="s">
        <v>278</v>
      </c>
      <c r="N47" s="258"/>
    </row>
    <row r="48" spans="2:14" ht="14.25" thickBot="1" x14ac:dyDescent="0.3">
      <c r="B48" s="33">
        <v>2022</v>
      </c>
      <c r="C48" s="499" t="s">
        <v>286</v>
      </c>
      <c r="D48" s="262" t="str" cm="1">
        <f t="array" aca="1" ref="D48" ca="1">IFERROR(_xlfn.XLOOKUP(D$13,INDIRECT("'"&amp;$B48&amp;" EI'!$B$6:$B$53"),_xlfn.XLOOKUP($C$10,INDIRECT("'"&amp;$B48&amp;" EI'!$D$4:$Z$4"),INDIRECT("'"&amp;$B48&amp;" EI'!$D$6:$Z$53")))*_xlfn.XLOOKUP($B48&amp;D$15,'Gas Useage'!$A$4:$A$15&amp;'Gas Useage'!$B$4:$B$15,_xlfn.XLOOKUP($C48&amp;D$14,'Gas Useage'!$C$2:$AB$2&amp;'Gas Useage'!$C$3:$AB$3,'Gas Useage'!$C$4:$AB$15))/_xlfn.XLOOKUP($B48&amp;D$15,'Gas Useage'!$A$4:$A$15&amp;'Gas Useage'!$B$4:$B$15,_xlfn.XLOOKUP(D$14,'Gas Useage'!$AA$3:$AB$3,'Gas Useage'!$AA$4:$AB$15)),"---")</f>
        <v>---</v>
      </c>
      <c r="E48" s="262" cm="1">
        <f t="array" aca="1" ref="E48" ca="1">IFERROR(_xlfn.XLOOKUP(E$13,INDIRECT("'"&amp;$B48&amp;" EI'!$B$6:$B$53"),_xlfn.XLOOKUP($C$10,INDIRECT("'"&amp;$B48&amp;" EI'!$D$4:$Z$4"),INDIRECT("'"&amp;$B48&amp;" EI'!$D$6:$Z$53")))*_xlfn.XLOOKUP($B48&amp;E$15,'Gas Useage'!$A$4:$A$15&amp;'Gas Useage'!$B$4:$B$15,_xlfn.XLOOKUP($C48&amp;E$14,'Gas Useage'!$C$2:$AB$2&amp;'Gas Useage'!$C$3:$AB$3,'Gas Useage'!$C$4:$AB$15))/_xlfn.XLOOKUP($B48&amp;E$15,'Gas Useage'!$A$4:$A$15&amp;'Gas Useage'!$B$4:$B$15,_xlfn.XLOOKUP(E$14,'Gas Useage'!$AA$3:$AB$3,'Gas Useage'!$AA$4:$AB$15)),"---")</f>
        <v>2.1813379044475542E-7</v>
      </c>
      <c r="F48" s="262" t="str" cm="1">
        <f t="array" aca="1" ref="F48" ca="1">IFERROR(_xlfn.XLOOKUP(F$13,INDIRECT("'"&amp;$B48&amp;" EI'!$B$6:$B$53"),_xlfn.XLOOKUP($C$10,INDIRECT("'"&amp;$B48&amp;" EI'!$D$4:$Z$4"),INDIRECT("'"&amp;$B48&amp;" EI'!$D$6:$Z$53")))*_xlfn.XLOOKUP($B48&amp;F$15,'Gas Useage'!$A$4:$A$15&amp;'Gas Useage'!$B$4:$B$15,_xlfn.XLOOKUP($C48&amp;F$14,'Gas Useage'!$C$2:$AB$2&amp;'Gas Useage'!$C$3:$AB$3,'Gas Useage'!$C$4:$AB$15))/_xlfn.XLOOKUP($B48&amp;F$15,'Gas Useage'!$A$4:$A$15&amp;'Gas Useage'!$B$4:$B$15,_xlfn.XLOOKUP(F$14,'Gas Useage'!$AA$3:$AB$3,'Gas Useage'!$AA$4:$AB$15)),"---")</f>
        <v>---</v>
      </c>
      <c r="G48" s="262" cm="1">
        <f t="array" aca="1" ref="G48" ca="1">IFERROR(_xlfn.XLOOKUP(G$13,INDIRECT("'"&amp;$B48&amp;" EI'!$B$6:$B$53"),_xlfn.XLOOKUP($C$10,INDIRECT("'"&amp;$B48&amp;" EI'!$D$4:$Z$4"),INDIRECT("'"&amp;$B48&amp;" EI'!$D$6:$Z$53")))*_xlfn.XLOOKUP($B48&amp;G$15,'Gas Useage'!$A$4:$A$15&amp;'Gas Useage'!$B$4:$B$15,_xlfn.XLOOKUP($C48&amp;G$14,'Gas Useage'!$C$2:$AB$2&amp;'Gas Useage'!$C$3:$AB$3,'Gas Useage'!$C$4:$AB$15))/_xlfn.XLOOKUP($B48&amp;G$15,'Gas Useage'!$A$4:$A$15&amp;'Gas Useage'!$B$4:$B$15,_xlfn.XLOOKUP(G$14,'Gas Useage'!$AA$3:$AB$3,'Gas Useage'!$AA$4:$AB$15)),"---")</f>
        <v>1.2362707602170179E-7</v>
      </c>
      <c r="H48" s="263">
        <f t="shared" ref="H48:K48" ca="1" si="0">IFERROR(SUM(D25:D48)/2,"--")</f>
        <v>0</v>
      </c>
      <c r="I48" s="263">
        <f t="shared" ca="1" si="0"/>
        <v>3.4131281692238395E-6</v>
      </c>
      <c r="J48" s="263">
        <f t="shared" ca="1" si="0"/>
        <v>0</v>
      </c>
      <c r="K48" s="264">
        <f t="shared" ca="1" si="0"/>
        <v>3.3477701134930679E-6</v>
      </c>
      <c r="N48" s="258"/>
    </row>
    <row r="49" spans="2:14" ht="13.5" hidden="1" x14ac:dyDescent="0.25">
      <c r="B49" s="495">
        <v>2022</v>
      </c>
      <c r="C49" s="284" t="s">
        <v>287</v>
      </c>
      <c r="D49" s="496" t="str" cm="1">
        <f t="array" aca="1" ref="D49" ca="1">IFERROR(_xlfn.XLOOKUP(D$13,INDIRECT("'"&amp;$B49&amp;" EI'!$B$6:$B$53"),_xlfn.XLOOKUP($C$10,INDIRECT("'"&amp;$B49&amp;" EI'!$D$4:$Z$4"),INDIRECT("'"&amp;$B49&amp;" EI'!$D$6:$Z$53")))*_xlfn.XLOOKUP($B49&amp;D$15,'Gas Useage'!$A$4:$A$15&amp;'Gas Useage'!$B$4:$B$15,_xlfn.XLOOKUP($C49&amp;D$14,'Gas Useage'!$C$2:$AB$2&amp;'Gas Useage'!$C$3:$AB$3,'Gas Useage'!$C$4:$AB$15))/_xlfn.XLOOKUP($B49&amp;D$15,'Gas Useage'!$A$4:$A$15&amp;'Gas Useage'!$B$4:$B$15,_xlfn.XLOOKUP(D$14,'Gas Useage'!$AA$3:$AB$3,'Gas Useage'!$AA$4:$AB$15)),"---")</f>
        <v>---</v>
      </c>
      <c r="E49" s="496" cm="1">
        <f t="array" aca="1" ref="E49" ca="1">IFERROR(_xlfn.XLOOKUP(E$13,INDIRECT("'"&amp;$B49&amp;" EI'!$B$6:$B$53"),_xlfn.XLOOKUP($C$10,INDIRECT("'"&amp;$B49&amp;" EI'!$D$4:$Z$4"),INDIRECT("'"&amp;$B49&amp;" EI'!$D$6:$Z$53")))*_xlfn.XLOOKUP($B49&amp;E$15,'Gas Useage'!$A$4:$A$15&amp;'Gas Useage'!$B$4:$B$15,_xlfn.XLOOKUP($C49&amp;E$14,'Gas Useage'!$C$2:$AB$2&amp;'Gas Useage'!$C$3:$AB$3,'Gas Useage'!$C$4:$AB$15))/_xlfn.XLOOKUP($B49&amp;E$15,'Gas Useage'!$A$4:$A$15&amp;'Gas Useage'!$B$4:$B$15,_xlfn.XLOOKUP(E$14,'Gas Useage'!$AA$3:$AB$3,'Gas Useage'!$AA$4:$AB$15)),"---")</f>
        <v>2.3165228248023735E-7</v>
      </c>
      <c r="F49" s="496" t="str" cm="1">
        <f t="array" aca="1" ref="F49" ca="1">IFERROR(_xlfn.XLOOKUP(F$13,INDIRECT("'"&amp;$B49&amp;" EI'!$B$6:$B$53"),_xlfn.XLOOKUP($C$10,INDIRECT("'"&amp;$B49&amp;" EI'!$D$4:$Z$4"),INDIRECT("'"&amp;$B49&amp;" EI'!$D$6:$Z$53")))*_xlfn.XLOOKUP($B49&amp;F$15,'Gas Useage'!$A$4:$A$15&amp;'Gas Useage'!$B$4:$B$15,_xlfn.XLOOKUP($C49&amp;F$14,'Gas Useage'!$C$2:$AB$2&amp;'Gas Useage'!$C$3:$AB$3,'Gas Useage'!$C$4:$AB$15))/_xlfn.XLOOKUP($B49&amp;F$15,'Gas Useage'!$A$4:$A$15&amp;'Gas Useage'!$B$4:$B$15,_xlfn.XLOOKUP(F$14,'Gas Useage'!$AA$3:$AB$3,'Gas Useage'!$AA$4:$AB$15)),"---")</f>
        <v>---</v>
      </c>
      <c r="G49" s="496" cm="1">
        <f t="array" aca="1" ref="G49" ca="1">IFERROR(_xlfn.XLOOKUP(G$13,INDIRECT("'"&amp;$B49&amp;" EI'!$B$6:$B$53"),_xlfn.XLOOKUP($C$10,INDIRECT("'"&amp;$B49&amp;" EI'!$D$4:$Z$4"),INDIRECT("'"&amp;$B49&amp;" EI'!$D$6:$Z$53")))*_xlfn.XLOOKUP($B49&amp;G$15,'Gas Useage'!$A$4:$A$15&amp;'Gas Useage'!$B$4:$B$15,_xlfn.XLOOKUP($C49&amp;G$14,'Gas Useage'!$C$2:$AB$2&amp;'Gas Useage'!$C$3:$AB$3,'Gas Useage'!$C$4:$AB$15))/_xlfn.XLOOKUP($B49&amp;G$15,'Gas Useage'!$A$4:$A$15&amp;'Gas Useage'!$B$4:$B$15,_xlfn.XLOOKUP(G$14,'Gas Useage'!$AA$3:$AB$3,'Gas Useage'!$AA$4:$AB$15)),"---")</f>
        <v>1.7494183934450694E-7</v>
      </c>
      <c r="H49" s="497">
        <f t="shared" ref="H49:K49" ca="1" si="1">IFERROR(SUM(D26:D49)/2,"--")</f>
        <v>0</v>
      </c>
      <c r="I49" s="497">
        <f t="shared" ca="1" si="1"/>
        <v>3.4549024476304545E-6</v>
      </c>
      <c r="J49" s="497">
        <f t="shared" ca="1" si="1"/>
        <v>0</v>
      </c>
      <c r="K49" s="498">
        <f t="shared" ca="1" si="1"/>
        <v>3.2639844148517509E-6</v>
      </c>
      <c r="N49" s="258"/>
    </row>
    <row r="50" spans="2:14" ht="13.5" hidden="1" x14ac:dyDescent="0.25">
      <c r="B50" s="283">
        <v>2022</v>
      </c>
      <c r="C50" s="284" t="s">
        <v>288</v>
      </c>
      <c r="D50" s="290" t="str" cm="1">
        <f t="array" aca="1" ref="D50" ca="1">IFERROR(_xlfn.XLOOKUP(D$13,INDIRECT("'"&amp;$B50&amp;" EI'!$B$6:$B$53"),_xlfn.XLOOKUP($C$10,INDIRECT("'"&amp;$B50&amp;" EI'!$D$4:$Z$4"),INDIRECT("'"&amp;$B50&amp;" EI'!$D$6:$Z$53")))*_xlfn.XLOOKUP($B50&amp;D$15,'Gas Useage'!$A$4:$A$15&amp;'Gas Useage'!$B$4:$B$15,_xlfn.XLOOKUP($C50&amp;D$14,'Gas Useage'!$C$2:$AB$2&amp;'Gas Useage'!$C$3:$AB$3,'Gas Useage'!$C$4:$AB$15))/_xlfn.XLOOKUP($B50&amp;D$15,'Gas Useage'!$A$4:$A$15&amp;'Gas Useage'!$B$4:$B$15,_xlfn.XLOOKUP(D$14,'Gas Useage'!$AA$3:$AB$3,'Gas Useage'!$AA$4:$AB$15)),"---")</f>
        <v>---</v>
      </c>
      <c r="E50" s="290" cm="1">
        <f t="array" aca="1" ref="E50" ca="1">IFERROR(_xlfn.XLOOKUP(E$13,INDIRECT("'"&amp;$B50&amp;" EI'!$B$6:$B$53"),_xlfn.XLOOKUP($C$10,INDIRECT("'"&amp;$B50&amp;" EI'!$D$4:$Z$4"),INDIRECT("'"&amp;$B50&amp;" EI'!$D$6:$Z$53")))*_xlfn.XLOOKUP($B50&amp;E$15,'Gas Useage'!$A$4:$A$15&amp;'Gas Useage'!$B$4:$B$15,_xlfn.XLOOKUP($C50&amp;E$14,'Gas Useage'!$C$2:$AB$2&amp;'Gas Useage'!$C$3:$AB$3,'Gas Useage'!$C$4:$AB$15))/_xlfn.XLOOKUP($B50&amp;E$15,'Gas Useage'!$A$4:$A$15&amp;'Gas Useage'!$B$4:$B$15,_xlfn.XLOOKUP(E$14,'Gas Useage'!$AA$3:$AB$3,'Gas Useage'!$AA$4:$AB$15)),"---")</f>
        <v>2.4553915936227419E-10</v>
      </c>
      <c r="F50" s="290" t="str" cm="1">
        <f t="array" aca="1" ref="F50" ca="1">IFERROR(_xlfn.XLOOKUP(F$13,INDIRECT("'"&amp;$B50&amp;" EI'!$B$6:$B$53"),_xlfn.XLOOKUP($C$10,INDIRECT("'"&amp;$B50&amp;" EI'!$D$4:$Z$4"),INDIRECT("'"&amp;$B50&amp;" EI'!$D$6:$Z$53")))*_xlfn.XLOOKUP($B50&amp;F$15,'Gas Useage'!$A$4:$A$15&amp;'Gas Useage'!$B$4:$B$15,_xlfn.XLOOKUP($C50&amp;F$14,'Gas Useage'!$C$2:$AB$2&amp;'Gas Useage'!$C$3:$AB$3,'Gas Useage'!$C$4:$AB$15))/_xlfn.XLOOKUP($B50&amp;F$15,'Gas Useage'!$A$4:$A$15&amp;'Gas Useage'!$B$4:$B$15,_xlfn.XLOOKUP(F$14,'Gas Useage'!$AA$3:$AB$3,'Gas Useage'!$AA$4:$AB$15)),"---")</f>
        <v>---</v>
      </c>
      <c r="G50" s="290" cm="1">
        <f t="array" aca="1" ref="G50" ca="1">IFERROR(_xlfn.XLOOKUP(G$13,INDIRECT("'"&amp;$B50&amp;" EI'!$B$6:$B$53"),_xlfn.XLOOKUP($C$10,INDIRECT("'"&amp;$B50&amp;" EI'!$D$4:$Z$4"),INDIRECT("'"&amp;$B50&amp;" EI'!$D$6:$Z$53")))*_xlfn.XLOOKUP($B50&amp;G$15,'Gas Useage'!$A$4:$A$15&amp;'Gas Useage'!$B$4:$B$15,_xlfn.XLOOKUP($C50&amp;G$14,'Gas Useage'!$C$2:$AB$2&amp;'Gas Useage'!$C$3:$AB$3,'Gas Useage'!$C$4:$AB$15))/_xlfn.XLOOKUP($B50&amp;G$15,'Gas Useage'!$A$4:$A$15&amp;'Gas Useage'!$B$4:$B$15,_xlfn.XLOOKUP(G$14,'Gas Useage'!$AA$3:$AB$3,'Gas Useage'!$AA$4:$AB$15)),"---")</f>
        <v>2.0663539434412922E-10</v>
      </c>
      <c r="H50" s="291">
        <f t="shared" ref="H50:K50" ca="1" si="2">IFERROR(SUM(D27:D50)/2,"--")</f>
        <v>0</v>
      </c>
      <c r="I50" s="291">
        <f t="shared" ca="1" si="2"/>
        <v>3.2393141230981933E-6</v>
      </c>
      <c r="J50" s="291">
        <f t="shared" ca="1" si="2"/>
        <v>0</v>
      </c>
      <c r="K50" s="292">
        <f t="shared" ca="1" si="2"/>
        <v>2.9375639795099845E-6</v>
      </c>
      <c r="N50" s="258"/>
    </row>
    <row r="51" spans="2:14" ht="14.25" hidden="1" thickBot="1" x14ac:dyDescent="0.3">
      <c r="B51" s="285">
        <v>2022</v>
      </c>
      <c r="C51" s="286" t="s">
        <v>289</v>
      </c>
      <c r="D51" s="287" t="str" cm="1">
        <f t="array" aca="1" ref="D51" ca="1">IFERROR(_xlfn.XLOOKUP(D$13,INDIRECT("'"&amp;$B51&amp;" EI'!$B$6:$B$53"),_xlfn.XLOOKUP($C$10,INDIRECT("'"&amp;$B51&amp;" EI'!$D$4:$Z$4"),INDIRECT("'"&amp;$B51&amp;" EI'!$D$6:$Z$53")))*_xlfn.XLOOKUP($B51&amp;D$15,'Gas Useage'!$A$4:$A$15&amp;'Gas Useage'!$B$4:$B$15,_xlfn.XLOOKUP($C51&amp;D$14,'Gas Useage'!$C$2:$AB$2&amp;'Gas Useage'!$C$3:$AB$3,'Gas Useage'!$C$4:$AB$15))/_xlfn.XLOOKUP($B51&amp;D$15,'Gas Useage'!$A$4:$A$15&amp;'Gas Useage'!$B$4:$B$15,_xlfn.XLOOKUP(D$14,'Gas Useage'!$AA$3:$AB$3,'Gas Useage'!$AA$4:$AB$15)),"---")</f>
        <v>---</v>
      </c>
      <c r="E51" s="287" cm="1">
        <f t="array" aca="1" ref="E51" ca="1">IFERROR(_xlfn.XLOOKUP(E$13,INDIRECT("'"&amp;$B51&amp;" EI'!$B$6:$B$53"),_xlfn.XLOOKUP($C$10,INDIRECT("'"&amp;$B51&amp;" EI'!$D$4:$Z$4"),INDIRECT("'"&amp;$B51&amp;" EI'!$D$6:$Z$53")))*_xlfn.XLOOKUP($B51&amp;E$15,'Gas Useage'!$A$4:$A$15&amp;'Gas Useage'!$B$4:$B$15,_xlfn.XLOOKUP($C51&amp;E$14,'Gas Useage'!$C$2:$AB$2&amp;'Gas Useage'!$C$3:$AB$3,'Gas Useage'!$C$4:$AB$15))/_xlfn.XLOOKUP($B51&amp;E$15,'Gas Useage'!$A$4:$A$15&amp;'Gas Useage'!$B$4:$B$15,_xlfn.XLOOKUP(E$14,'Gas Useage'!$AA$3:$AB$3,'Gas Useage'!$AA$4:$AB$15)),"---")</f>
        <v>8.9667164570518582E-11</v>
      </c>
      <c r="F51" s="287" t="str" cm="1">
        <f t="array" aca="1" ref="F51" ca="1">IFERROR(_xlfn.XLOOKUP(F$13,INDIRECT("'"&amp;$B51&amp;" EI'!$B$6:$B$53"),_xlfn.XLOOKUP($C$10,INDIRECT("'"&amp;$B51&amp;" EI'!$D$4:$Z$4"),INDIRECT("'"&amp;$B51&amp;" EI'!$D$6:$Z$53")))*_xlfn.XLOOKUP($B51&amp;F$15,'Gas Useage'!$A$4:$A$15&amp;'Gas Useage'!$B$4:$B$15,_xlfn.XLOOKUP($C51&amp;F$14,'Gas Useage'!$C$2:$AB$2&amp;'Gas Useage'!$C$3:$AB$3,'Gas Useage'!$C$4:$AB$15))/_xlfn.XLOOKUP($B51&amp;F$15,'Gas Useage'!$A$4:$A$15&amp;'Gas Useage'!$B$4:$B$15,_xlfn.XLOOKUP(F$14,'Gas Useage'!$AA$3:$AB$3,'Gas Useage'!$AA$4:$AB$15)),"---")</f>
        <v>---</v>
      </c>
      <c r="G51" s="287" cm="1">
        <f t="array" aca="1" ref="G51" ca="1">IFERROR(_xlfn.XLOOKUP(G$13,INDIRECT("'"&amp;$B51&amp;" EI'!$B$6:$B$53"),_xlfn.XLOOKUP($C$10,INDIRECT("'"&amp;$B51&amp;" EI'!$D$4:$Z$4"),INDIRECT("'"&amp;$B51&amp;" EI'!$D$6:$Z$53")))*_xlfn.XLOOKUP($B51&amp;G$15,'Gas Useage'!$A$4:$A$15&amp;'Gas Useage'!$B$4:$B$15,_xlfn.XLOOKUP($C51&amp;G$14,'Gas Useage'!$C$2:$AB$2&amp;'Gas Useage'!$C$3:$AB$3,'Gas Useage'!$C$4:$AB$15))/_xlfn.XLOOKUP($B51&amp;G$15,'Gas Useage'!$A$4:$A$15&amp;'Gas Useage'!$B$4:$B$15,_xlfn.XLOOKUP(G$14,'Gas Useage'!$AA$3:$AB$3,'Gas Useage'!$AA$4:$AB$15)),"---")</f>
        <v>6.4897582915712309E-11</v>
      </c>
      <c r="H51" s="288">
        <f t="shared" ref="H51:K51" ca="1" si="3">IFERROR(SUM(D28:D51)/2,"--")</f>
        <v>0</v>
      </c>
      <c r="I51" s="288">
        <f t="shared" ca="1" si="3"/>
        <v>3.0236478625685365E-6</v>
      </c>
      <c r="J51" s="288">
        <f t="shared" ca="1" si="3"/>
        <v>0</v>
      </c>
      <c r="K51" s="289">
        <f t="shared" ca="1" si="3"/>
        <v>2.6110726752625039E-6</v>
      </c>
      <c r="N51" s="258"/>
    </row>
    <row r="53" spans="2:14" x14ac:dyDescent="0.2">
      <c r="B53" s="265"/>
      <c r="C53" s="265"/>
    </row>
    <row r="54" spans="2:14" x14ac:dyDescent="0.2">
      <c r="B54" s="266"/>
      <c r="C54" s="266"/>
      <c r="D54" s="267"/>
      <c r="E54" s="267"/>
      <c r="F54" s="267"/>
      <c r="G54" s="267"/>
    </row>
    <row r="55" spans="2:14" x14ac:dyDescent="0.2">
      <c r="B55" s="266"/>
      <c r="C55" s="266"/>
      <c r="D55" s="267"/>
      <c r="E55" s="267"/>
      <c r="F55" s="267"/>
      <c r="G55" s="267"/>
    </row>
    <row r="56" spans="2:14" x14ac:dyDescent="0.2">
      <c r="B56" s="266"/>
      <c r="C56" s="266"/>
      <c r="D56" s="267"/>
      <c r="E56" s="267"/>
      <c r="F56" s="267"/>
      <c r="G56" s="267"/>
    </row>
    <row r="57" spans="2:14" x14ac:dyDescent="0.2">
      <c r="B57" s="266"/>
      <c r="C57" s="266"/>
      <c r="D57" s="267"/>
      <c r="E57" s="267"/>
      <c r="F57" s="267"/>
      <c r="G57" s="267"/>
    </row>
    <row r="58" spans="2:14" x14ac:dyDescent="0.2">
      <c r="B58" s="266"/>
      <c r="C58" s="266"/>
      <c r="D58" s="267"/>
      <c r="E58" s="267"/>
      <c r="F58" s="267"/>
      <c r="G58" s="267"/>
      <c r="H58" s="267"/>
      <c r="I58" s="267"/>
      <c r="J58" s="267"/>
      <c r="K58" s="267"/>
    </row>
    <row r="61" spans="2:14" x14ac:dyDescent="0.2">
      <c r="B61" s="265"/>
      <c r="C61" s="265"/>
      <c r="D61" s="268"/>
    </row>
    <row r="62" spans="2:14" x14ac:dyDescent="0.2">
      <c r="B62" s="266"/>
      <c r="C62" s="266"/>
    </row>
    <row r="63" spans="2:14" x14ac:dyDescent="0.2">
      <c r="B63" s="266"/>
      <c r="C63" s="266"/>
    </row>
    <row r="64" spans="2:14" x14ac:dyDescent="0.2">
      <c r="B64" s="266"/>
      <c r="C64" s="266"/>
    </row>
    <row r="65" spans="2:3" x14ac:dyDescent="0.2">
      <c r="B65" s="266"/>
      <c r="C65" s="266"/>
    </row>
    <row r="66" spans="2:3" x14ac:dyDescent="0.2">
      <c r="B66" s="266"/>
      <c r="C66" s="266"/>
    </row>
    <row r="68" spans="2:3" x14ac:dyDescent="0.2">
      <c r="B68" s="266"/>
      <c r="C68" s="266"/>
    </row>
    <row r="70" spans="2:3" x14ac:dyDescent="0.2">
      <c r="B70" s="265"/>
      <c r="C70" s="265"/>
    </row>
  </sheetData>
  <mergeCells count="2">
    <mergeCell ref="D12:G12"/>
    <mergeCell ref="H12:K12"/>
  </mergeCells>
  <pageMargins left="0.7" right="0.7" top="0.75" bottom="0.75" header="0.3" footer="0.3"/>
  <pageSetup scale="66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4D215-7BA4-43E3-91AD-CAAE8E8AC1BB}">
  <sheetPr>
    <tabColor theme="1"/>
  </sheetPr>
  <dimension ref="B1:U70"/>
  <sheetViews>
    <sheetView view="pageBreakPreview" zoomScale="89" zoomScaleNormal="100" zoomScaleSheetLayoutView="89" workbookViewId="0">
      <selection activeCell="J40" sqref="J40:J41"/>
    </sheetView>
  </sheetViews>
  <sheetFormatPr defaultColWidth="9.140625" defaultRowHeight="12.75" x14ac:dyDescent="0.2"/>
  <cols>
    <col min="1" max="1" width="4.28515625" style="252" customWidth="1"/>
    <col min="2" max="2" width="12" style="252" customWidth="1"/>
    <col min="3" max="3" width="18.85546875" style="252" customWidth="1"/>
    <col min="4" max="7" width="8.85546875" style="252" bestFit="1" customWidth="1"/>
    <col min="8" max="13" width="9.140625" style="252"/>
    <col min="14" max="14" width="11.140625" style="252" bestFit="1" customWidth="1"/>
    <col min="15" max="15" width="17.28515625" style="252" customWidth="1"/>
    <col min="16" max="16" width="15.42578125" style="252" customWidth="1"/>
    <col min="17" max="16384" width="9.140625" style="252"/>
  </cols>
  <sheetData>
    <row r="1" spans="2:21" s="18" customFormat="1" x14ac:dyDescent="0.2">
      <c r="B1" s="28"/>
      <c r="C1" s="28"/>
      <c r="F1" s="19"/>
      <c r="G1" s="19"/>
    </row>
    <row r="2" spans="2:21" s="18" customFormat="1" x14ac:dyDescent="0.2">
      <c r="B2" s="28"/>
      <c r="C2" s="28"/>
      <c r="F2" s="19"/>
      <c r="G2" s="19"/>
    </row>
    <row r="3" spans="2:21" x14ac:dyDescent="0.2">
      <c r="B3" s="20"/>
      <c r="C3" s="20"/>
    </row>
    <row r="4" spans="2:21" x14ac:dyDescent="0.2">
      <c r="B4" s="24" t="s">
        <v>0</v>
      </c>
      <c r="C4" s="25" t="s">
        <v>261</v>
      </c>
    </row>
    <row r="5" spans="2:21" x14ac:dyDescent="0.2">
      <c r="B5" s="24" t="s">
        <v>79</v>
      </c>
      <c r="C5" s="25" t="s">
        <v>4</v>
      </c>
    </row>
    <row r="6" spans="2:21" x14ac:dyDescent="0.2">
      <c r="B6" s="24" t="s">
        <v>80</v>
      </c>
      <c r="C6" s="25" t="s">
        <v>262</v>
      </c>
    </row>
    <row r="7" spans="2:21" x14ac:dyDescent="0.2">
      <c r="B7" s="20"/>
      <c r="C7" s="20"/>
    </row>
    <row r="8" spans="2:21" x14ac:dyDescent="0.2">
      <c r="B8" s="26"/>
      <c r="C8" s="26"/>
    </row>
    <row r="9" spans="2:21" x14ac:dyDescent="0.2">
      <c r="B9" s="26"/>
      <c r="C9" s="26"/>
    </row>
    <row r="10" spans="2:21" x14ac:dyDescent="0.2">
      <c r="B10" s="27" t="s">
        <v>263</v>
      </c>
      <c r="C10" s="35" t="s">
        <v>294</v>
      </c>
    </row>
    <row r="11" spans="2:21" s="253" customFormat="1" ht="15" customHeight="1" thickBot="1" x14ac:dyDescent="0.25">
      <c r="O11" s="252"/>
      <c r="P11" s="252"/>
      <c r="Q11" s="252"/>
      <c r="R11" s="252"/>
      <c r="S11" s="252"/>
      <c r="T11" s="252"/>
      <c r="U11" s="252"/>
    </row>
    <row r="12" spans="2:21" ht="16.5" customHeight="1" thickBot="1" x14ac:dyDescent="0.25">
      <c r="B12" s="30"/>
      <c r="C12" s="30"/>
      <c r="D12" s="552" t="s">
        <v>265</v>
      </c>
      <c r="E12" s="553"/>
      <c r="F12" s="553"/>
      <c r="G12" s="554"/>
      <c r="H12" s="552" t="s">
        <v>266</v>
      </c>
      <c r="I12" s="553"/>
      <c r="J12" s="553"/>
      <c r="K12" s="554"/>
      <c r="L12" s="254"/>
    </row>
    <row r="13" spans="2:21" ht="27.75" thickBot="1" x14ac:dyDescent="0.25">
      <c r="B13" s="29" t="s">
        <v>267</v>
      </c>
      <c r="C13" s="29" t="s">
        <v>268</v>
      </c>
      <c r="D13" s="531" t="s">
        <v>269</v>
      </c>
      <c r="E13" s="532" t="s">
        <v>270</v>
      </c>
      <c r="F13" s="532" t="s">
        <v>271</v>
      </c>
      <c r="G13" s="533" t="s">
        <v>272</v>
      </c>
      <c r="H13" s="531" t="s">
        <v>269</v>
      </c>
      <c r="I13" s="532" t="s">
        <v>270</v>
      </c>
      <c r="J13" s="532" t="s">
        <v>271</v>
      </c>
      <c r="K13" s="533" t="s">
        <v>272</v>
      </c>
    </row>
    <row r="14" spans="2:21" ht="27.75" thickBot="1" x14ac:dyDescent="0.25">
      <c r="B14" s="199"/>
      <c r="C14" s="199"/>
      <c r="D14" s="531" t="s">
        <v>273</v>
      </c>
      <c r="E14" s="532" t="s">
        <v>274</v>
      </c>
      <c r="F14" s="532" t="s">
        <v>273</v>
      </c>
      <c r="G14" s="533" t="s">
        <v>274</v>
      </c>
      <c r="H14" s="531"/>
      <c r="I14" s="532"/>
      <c r="J14" s="532"/>
      <c r="K14" s="533"/>
    </row>
    <row r="15" spans="2:21" ht="14.25" thickBot="1" x14ac:dyDescent="0.25">
      <c r="B15" s="199"/>
      <c r="C15" s="199"/>
      <c r="D15" s="534" t="s">
        <v>275</v>
      </c>
      <c r="E15" s="535" t="s">
        <v>275</v>
      </c>
      <c r="F15" s="535" t="s">
        <v>276</v>
      </c>
      <c r="G15" s="536" t="s">
        <v>276</v>
      </c>
      <c r="H15" s="534"/>
      <c r="I15" s="535"/>
      <c r="J15" s="535"/>
      <c r="K15" s="536"/>
    </row>
    <row r="16" spans="2:21" ht="13.5" hidden="1" x14ac:dyDescent="0.25">
      <c r="B16" s="31">
        <v>2020</v>
      </c>
      <c r="C16" s="197" t="s">
        <v>277</v>
      </c>
      <c r="D16" s="255" cm="1">
        <f t="array" aca="1" ref="D16" ca="1">_xlfn.XLOOKUP(D$13,INDIRECT("'"&amp;$B16&amp;" EI'!$B$6:$B$53"),_xlfn.XLOOKUP($C$10,INDIRECT("'"&amp;$B16&amp;" EI'!$D$4:$Z$4"),INDIRECT("'"&amp;$B16&amp;" EI'!$D$6:$Z$53")))*_xlfn.XLOOKUP($B16&amp;D$15,'Gas Useage'!$A$4:$A$15&amp;'Gas Useage'!$B$4:$B$15,_xlfn.XLOOKUP($C16&amp;D$14,'Gas Useage'!$C$2:$AB$2&amp;'Gas Useage'!$C$3:$AB$3,'Gas Useage'!$C$4:$AB$15))/_xlfn.XLOOKUP($B16&amp;D$15,'Gas Useage'!$A$4:$A$15&amp;'Gas Useage'!$B$4:$B$15,_xlfn.XLOOKUP(D$14,'Gas Useage'!$AA$3:$AB$3,'Gas Useage'!$AA$4:$AB$15))</f>
        <v>360.65456292649327</v>
      </c>
      <c r="E16" s="255" cm="1">
        <f t="array" aca="1" ref="E16" ca="1">_xlfn.XLOOKUP(E$13,INDIRECT("'"&amp;$B16&amp;" EI'!$B$6:$B$53"),_xlfn.XLOOKUP($C$10,INDIRECT("'"&amp;$B16&amp;" EI'!$D$4:$Z$4"),INDIRECT("'"&amp;$B16&amp;" EI'!$D$6:$Z$53")))*_xlfn.XLOOKUP($B16&amp;E$15,'Gas Useage'!$A$4:$A$15&amp;'Gas Useage'!$B$4:$B$15,_xlfn.XLOOKUP($C16&amp;E$14,'Gas Useage'!$C$2:$AB$2&amp;'Gas Useage'!$C$3:$AB$3,'Gas Useage'!$C$4:$AB$15))/_xlfn.XLOOKUP($B16&amp;E$15,'Gas Useage'!$A$4:$A$15&amp;'Gas Useage'!$B$4:$B$15,_xlfn.XLOOKUP(E$14,'Gas Useage'!$AA$3:$AB$3,'Gas Useage'!$AA$4:$AB$15))</f>
        <v>63.011617683788252</v>
      </c>
      <c r="F16" s="255" cm="1">
        <f t="array" aca="1" ref="F16" ca="1">_xlfn.XLOOKUP(F$13,INDIRECT("'"&amp;$B16&amp;" EI'!$B$6:$B$53"),_xlfn.XLOOKUP($C$10,INDIRECT("'"&amp;$B16&amp;" EI'!$D$4:$Z$4"),INDIRECT("'"&amp;$B16&amp;" EI'!$D$6:$Z$53")))*_xlfn.XLOOKUP($B16&amp;F$15,'Gas Useage'!$A$4:$A$15&amp;'Gas Useage'!$B$4:$B$15,_xlfn.XLOOKUP($C16&amp;F$14,'Gas Useage'!$C$2:$AB$2&amp;'Gas Useage'!$C$3:$AB$3,'Gas Useage'!$C$4:$AB$15))/_xlfn.XLOOKUP($B16&amp;F$15,'Gas Useage'!$A$4:$A$15&amp;'Gas Useage'!$B$4:$B$15,_xlfn.XLOOKUP(F$14,'Gas Useage'!$AA$3:$AB$3,'Gas Useage'!$AA$4:$AB$15))</f>
        <v>472.1496894230072</v>
      </c>
      <c r="G16" s="255" cm="1">
        <f t="array" aca="1" ref="G16" ca="1">_xlfn.XLOOKUP(G$13,INDIRECT("'"&amp;$B16&amp;" EI'!$B$6:$B$53"),_xlfn.XLOOKUP($C$10,INDIRECT("'"&amp;$B16&amp;" EI'!$D$4:$Z$4"),INDIRECT("'"&amp;$B16&amp;" EI'!$D$6:$Z$53")))*_xlfn.XLOOKUP($B16&amp;G$15,'Gas Useage'!$A$4:$A$15&amp;'Gas Useage'!$B$4:$B$15,_xlfn.XLOOKUP($C16&amp;G$14,'Gas Useage'!$C$2:$AB$2&amp;'Gas Useage'!$C$3:$AB$3,'Gas Useage'!$C$4:$AB$15))/_xlfn.XLOOKUP($B16&amp;G$15,'Gas Useage'!$A$4:$A$15&amp;'Gas Useage'!$B$4:$B$15,_xlfn.XLOOKUP(G$14,'Gas Useage'!$AA$3:$AB$3,'Gas Useage'!$AA$4:$AB$15))</f>
        <v>82.491444106602302</v>
      </c>
      <c r="H16" s="256" t="s">
        <v>278</v>
      </c>
      <c r="I16" s="256" t="s">
        <v>278</v>
      </c>
      <c r="J16" s="256" t="s">
        <v>278</v>
      </c>
      <c r="K16" s="257" t="s">
        <v>278</v>
      </c>
      <c r="N16" s="258"/>
    </row>
    <row r="17" spans="2:14" ht="13.5" hidden="1" x14ac:dyDescent="0.25">
      <c r="B17" s="32">
        <v>2020</v>
      </c>
      <c r="C17" s="198" t="s">
        <v>279</v>
      </c>
      <c r="D17" s="259" cm="1">
        <f t="array" aca="1" ref="D17" ca="1">_xlfn.XLOOKUP(D$13,INDIRECT("'"&amp;$B17&amp;" EI'!$B$6:$B$53"),_xlfn.XLOOKUP($C$10,INDIRECT("'"&amp;$B17&amp;" EI'!$D$4:$Z$4"),INDIRECT("'"&amp;$B17&amp;" EI'!$D$6:$Z$53")))*_xlfn.XLOOKUP($B17&amp;D$15,'Gas Useage'!$A$4:$A$15&amp;'Gas Useage'!$B$4:$B$15,_xlfn.XLOOKUP($C17&amp;D$14,'Gas Useage'!$C$2:$AB$2&amp;'Gas Useage'!$C$3:$AB$3,'Gas Useage'!$C$4:$AB$15))/_xlfn.XLOOKUP($B17&amp;D$15,'Gas Useage'!$A$4:$A$15&amp;'Gas Useage'!$B$4:$B$15,_xlfn.XLOOKUP(D$14,'Gas Useage'!$AA$3:$AB$3,'Gas Useage'!$AA$4:$AB$15))</f>
        <v>597.88918570947499</v>
      </c>
      <c r="E17" s="259" cm="1">
        <f t="array" aca="1" ref="E17" ca="1">_xlfn.XLOOKUP(E$13,INDIRECT("'"&amp;$B17&amp;" EI'!$B$6:$B$53"),_xlfn.XLOOKUP($C$10,INDIRECT("'"&amp;$B17&amp;" EI'!$D$4:$Z$4"),INDIRECT("'"&amp;$B17&amp;" EI'!$D$6:$Z$53")))*_xlfn.XLOOKUP($B17&amp;E$15,'Gas Useage'!$A$4:$A$15&amp;'Gas Useage'!$B$4:$B$15,_xlfn.XLOOKUP($C17&amp;E$14,'Gas Useage'!$C$2:$AB$2&amp;'Gas Useage'!$C$3:$AB$3,'Gas Useage'!$C$4:$AB$15))/_xlfn.XLOOKUP($B17&amp;E$15,'Gas Useage'!$A$4:$A$15&amp;'Gas Useage'!$B$4:$B$15,_xlfn.XLOOKUP(E$14,'Gas Useage'!$AA$3:$AB$3,'Gas Useage'!$AA$4:$AB$15))</f>
        <v>130.76213394681616</v>
      </c>
      <c r="F17" s="259" cm="1">
        <f t="array" aca="1" ref="F17" ca="1">_xlfn.XLOOKUP(F$13,INDIRECT("'"&amp;$B17&amp;" EI'!$B$6:$B$53"),_xlfn.XLOOKUP($C$10,INDIRECT("'"&amp;$B17&amp;" EI'!$D$4:$Z$4"),INDIRECT("'"&amp;$B17&amp;" EI'!$D$6:$Z$53")))*_xlfn.XLOOKUP($B17&amp;F$15,'Gas Useage'!$A$4:$A$15&amp;'Gas Useage'!$B$4:$B$15,_xlfn.XLOOKUP($C17&amp;F$14,'Gas Useage'!$C$2:$AB$2&amp;'Gas Useage'!$C$3:$AB$3,'Gas Useage'!$C$4:$AB$15))/_xlfn.XLOOKUP($B17&amp;F$15,'Gas Useage'!$A$4:$A$15&amp;'Gas Useage'!$B$4:$B$15,_xlfn.XLOOKUP(F$14,'Gas Useage'!$AA$3:$AB$3,'Gas Useage'!$AA$4:$AB$15))</f>
        <v>487.63759674424119</v>
      </c>
      <c r="G17" s="259" cm="1">
        <f t="array" aca="1" ref="G17" ca="1">_xlfn.XLOOKUP(G$13,INDIRECT("'"&amp;$B17&amp;" EI'!$B$6:$B$53"),_xlfn.XLOOKUP($C$10,INDIRECT("'"&amp;$B17&amp;" EI'!$D$4:$Z$4"),INDIRECT("'"&amp;$B17&amp;" EI'!$D$6:$Z$53")))*_xlfn.XLOOKUP($B17&amp;G$15,'Gas Useage'!$A$4:$A$15&amp;'Gas Useage'!$B$4:$B$15,_xlfn.XLOOKUP($C17&amp;G$14,'Gas Useage'!$C$2:$AB$2&amp;'Gas Useage'!$C$3:$AB$3,'Gas Useage'!$C$4:$AB$15))/_xlfn.XLOOKUP($B17&amp;G$15,'Gas Useage'!$A$4:$A$15&amp;'Gas Useage'!$B$4:$B$15,_xlfn.XLOOKUP(G$14,'Gas Useage'!$AA$3:$AB$3,'Gas Useage'!$AA$4:$AB$15))</f>
        <v>106.6494164254015</v>
      </c>
      <c r="H17" s="260" t="s">
        <v>278</v>
      </c>
      <c r="I17" s="260" t="s">
        <v>278</v>
      </c>
      <c r="J17" s="260" t="s">
        <v>278</v>
      </c>
      <c r="K17" s="261" t="s">
        <v>278</v>
      </c>
      <c r="N17" s="258"/>
    </row>
    <row r="18" spans="2:14" ht="13.5" hidden="1" x14ac:dyDescent="0.25">
      <c r="B18" s="32">
        <v>2020</v>
      </c>
      <c r="C18" s="198" t="s">
        <v>280</v>
      </c>
      <c r="D18" s="259" cm="1">
        <f t="array" aca="1" ref="D18" ca="1">_xlfn.XLOOKUP(D$13,INDIRECT("'"&amp;$B18&amp;" EI'!$B$6:$B$53"),_xlfn.XLOOKUP($C$10,INDIRECT("'"&amp;$B18&amp;" EI'!$D$4:$Z$4"),INDIRECT("'"&amp;$B18&amp;" EI'!$D$6:$Z$53")))*_xlfn.XLOOKUP($B18&amp;D$15,'Gas Useage'!$A$4:$A$15&amp;'Gas Useage'!$B$4:$B$15,_xlfn.XLOOKUP($C18&amp;D$14,'Gas Useage'!$C$2:$AB$2&amp;'Gas Useage'!$C$3:$AB$3,'Gas Useage'!$C$4:$AB$15))/_xlfn.XLOOKUP($B18&amp;D$15,'Gas Useage'!$A$4:$A$15&amp;'Gas Useage'!$B$4:$B$15,_xlfn.XLOOKUP(D$14,'Gas Useage'!$AA$3:$AB$3,'Gas Useage'!$AA$4:$AB$15))</f>
        <v>610.26109023566221</v>
      </c>
      <c r="E18" s="259" cm="1">
        <f t="array" aca="1" ref="E18" ca="1">_xlfn.XLOOKUP(E$13,INDIRECT("'"&amp;$B18&amp;" EI'!$B$6:$B$53"),_xlfn.XLOOKUP($C$10,INDIRECT("'"&amp;$B18&amp;" EI'!$D$4:$Z$4"),INDIRECT("'"&amp;$B18&amp;" EI'!$D$6:$Z$53")))*_xlfn.XLOOKUP($B18&amp;E$15,'Gas Useage'!$A$4:$A$15&amp;'Gas Useage'!$B$4:$B$15,_xlfn.XLOOKUP($C18&amp;E$14,'Gas Useage'!$C$2:$AB$2&amp;'Gas Useage'!$C$3:$AB$3,'Gas Useage'!$C$4:$AB$15))/_xlfn.XLOOKUP($B18&amp;E$15,'Gas Useage'!$A$4:$A$15&amp;'Gas Useage'!$B$4:$B$15,_xlfn.XLOOKUP(E$14,'Gas Useage'!$AA$3:$AB$3,'Gas Useage'!$AA$4:$AB$15))</f>
        <v>139.39892818260324</v>
      </c>
      <c r="F18" s="259" cm="1">
        <f t="array" aca="1" ref="F18" ca="1">_xlfn.XLOOKUP(F$13,INDIRECT("'"&amp;$B18&amp;" EI'!$B$6:$B$53"),_xlfn.XLOOKUP($C$10,INDIRECT("'"&amp;$B18&amp;" EI'!$D$4:$Z$4"),INDIRECT("'"&amp;$B18&amp;" EI'!$D$6:$Z$53")))*_xlfn.XLOOKUP($B18&amp;F$15,'Gas Useage'!$A$4:$A$15&amp;'Gas Useage'!$B$4:$B$15,_xlfn.XLOOKUP($C18&amp;F$14,'Gas Useage'!$C$2:$AB$2&amp;'Gas Useage'!$C$3:$AB$3,'Gas Useage'!$C$4:$AB$15))/_xlfn.XLOOKUP($B18&amp;F$15,'Gas Useage'!$A$4:$A$15&amp;'Gas Useage'!$B$4:$B$15,_xlfn.XLOOKUP(F$14,'Gas Useage'!$AA$3:$AB$3,'Gas Useage'!$AA$4:$AB$15))</f>
        <v>379.33689443448213</v>
      </c>
      <c r="G18" s="259" cm="1">
        <f t="array" aca="1" ref="G18" ca="1">_xlfn.XLOOKUP(G$13,INDIRECT("'"&amp;$B18&amp;" EI'!$B$6:$B$53"),_xlfn.XLOOKUP($C$10,INDIRECT("'"&amp;$B18&amp;" EI'!$D$4:$Z$4"),INDIRECT("'"&amp;$B18&amp;" EI'!$D$6:$Z$53")))*_xlfn.XLOOKUP($B18&amp;G$15,'Gas Useage'!$A$4:$A$15&amp;'Gas Useage'!$B$4:$B$15,_xlfn.XLOOKUP($C18&amp;G$14,'Gas Useage'!$C$2:$AB$2&amp;'Gas Useage'!$C$3:$AB$3,'Gas Useage'!$C$4:$AB$15))/_xlfn.XLOOKUP($B18&amp;G$15,'Gas Useage'!$A$4:$A$15&amp;'Gas Useage'!$B$4:$B$15,_xlfn.XLOOKUP(G$14,'Gas Useage'!$AA$3:$AB$3,'Gas Useage'!$AA$4:$AB$15))</f>
        <v>86.650054133164545</v>
      </c>
      <c r="H18" s="260" t="s">
        <v>278</v>
      </c>
      <c r="I18" s="260" t="s">
        <v>278</v>
      </c>
      <c r="J18" s="260" t="s">
        <v>278</v>
      </c>
      <c r="K18" s="261" t="s">
        <v>278</v>
      </c>
      <c r="N18" s="258"/>
    </row>
    <row r="19" spans="2:14" ht="13.5" hidden="1" x14ac:dyDescent="0.25">
      <c r="B19" s="32">
        <v>2020</v>
      </c>
      <c r="C19" s="198" t="s">
        <v>281</v>
      </c>
      <c r="D19" s="259" cm="1">
        <f t="array" aca="1" ref="D19" ca="1">_xlfn.XLOOKUP(D$13,INDIRECT("'"&amp;$B19&amp;" EI'!$B$6:$B$53"),_xlfn.XLOOKUP($C$10,INDIRECT("'"&amp;$B19&amp;" EI'!$D$4:$Z$4"),INDIRECT("'"&amp;$B19&amp;" EI'!$D$6:$Z$53")))*_xlfn.XLOOKUP($B19&amp;D$15,'Gas Useage'!$A$4:$A$15&amp;'Gas Useage'!$B$4:$B$15,_xlfn.XLOOKUP($C19&amp;D$14,'Gas Useage'!$C$2:$AB$2&amp;'Gas Useage'!$C$3:$AB$3,'Gas Useage'!$C$4:$AB$15))/_xlfn.XLOOKUP($B19&amp;D$15,'Gas Useage'!$A$4:$A$15&amp;'Gas Useage'!$B$4:$B$15,_xlfn.XLOOKUP(D$14,'Gas Useage'!$AA$3:$AB$3,'Gas Useage'!$AA$4:$AB$15))</f>
        <v>236.47521559941652</v>
      </c>
      <c r="E19" s="259" cm="1">
        <f t="array" aca="1" ref="E19" ca="1">_xlfn.XLOOKUP(E$13,INDIRECT("'"&amp;$B19&amp;" EI'!$B$6:$B$53"),_xlfn.XLOOKUP($C$10,INDIRECT("'"&amp;$B19&amp;" EI'!$D$4:$Z$4"),INDIRECT("'"&amp;$B19&amp;" EI'!$D$6:$Z$53")))*_xlfn.XLOOKUP($B19&amp;E$15,'Gas Useage'!$A$4:$A$15&amp;'Gas Useage'!$B$4:$B$15,_xlfn.XLOOKUP($C19&amp;E$14,'Gas Useage'!$C$2:$AB$2&amp;'Gas Useage'!$C$3:$AB$3,'Gas Useage'!$C$4:$AB$15))/_xlfn.XLOOKUP($B19&amp;E$15,'Gas Useage'!$A$4:$A$15&amp;'Gas Useage'!$B$4:$B$15,_xlfn.XLOOKUP(E$14,'Gas Useage'!$AA$3:$AB$3,'Gas Useage'!$AA$4:$AB$15))</f>
        <v>55.278767431029159</v>
      </c>
      <c r="F19" s="259" cm="1">
        <f t="array" aca="1" ref="F19" ca="1">_xlfn.XLOOKUP(F$13,INDIRECT("'"&amp;$B19&amp;" EI'!$B$6:$B$53"),_xlfn.XLOOKUP($C$10,INDIRECT("'"&amp;$B19&amp;" EI'!$D$4:$Z$4"),INDIRECT("'"&amp;$B19&amp;" EI'!$D$6:$Z$53")))*_xlfn.XLOOKUP($B19&amp;F$15,'Gas Useage'!$A$4:$A$15&amp;'Gas Useage'!$B$4:$B$15,_xlfn.XLOOKUP($C19&amp;F$14,'Gas Useage'!$C$2:$AB$2&amp;'Gas Useage'!$C$3:$AB$3,'Gas Useage'!$C$4:$AB$15))/_xlfn.XLOOKUP($B19&amp;F$15,'Gas Useage'!$A$4:$A$15&amp;'Gas Useage'!$B$4:$B$15,_xlfn.XLOOKUP(F$14,'Gas Useage'!$AA$3:$AB$3,'Gas Useage'!$AA$4:$AB$15))</f>
        <v>237.26530987138233</v>
      </c>
      <c r="G19" s="259" cm="1">
        <f t="array" aca="1" ref="G19" ca="1">_xlfn.XLOOKUP(G$13,INDIRECT("'"&amp;$B19&amp;" EI'!$B$6:$B$53"),_xlfn.XLOOKUP($C$10,INDIRECT("'"&amp;$B19&amp;" EI'!$D$4:$Z$4"),INDIRECT("'"&amp;$B19&amp;" EI'!$D$6:$Z$53")))*_xlfn.XLOOKUP($B19&amp;G$15,'Gas Useage'!$A$4:$A$15&amp;'Gas Useage'!$B$4:$B$15,_xlfn.XLOOKUP($C19&amp;G$14,'Gas Useage'!$C$2:$AB$2&amp;'Gas Useage'!$C$3:$AB$3,'Gas Useage'!$C$4:$AB$15))/_xlfn.XLOOKUP($B19&amp;G$15,'Gas Useage'!$A$4:$A$15&amp;'Gas Useage'!$B$4:$B$15,_xlfn.XLOOKUP(G$14,'Gas Useage'!$AA$3:$AB$3,'Gas Useage'!$AA$4:$AB$15))</f>
        <v>55.463460940655033</v>
      </c>
      <c r="H19" s="260" t="s">
        <v>278</v>
      </c>
      <c r="I19" s="260" t="s">
        <v>278</v>
      </c>
      <c r="J19" s="260" t="s">
        <v>278</v>
      </c>
      <c r="K19" s="261" t="s">
        <v>278</v>
      </c>
      <c r="N19" s="258"/>
    </row>
    <row r="20" spans="2:14" ht="13.5" hidden="1" x14ac:dyDescent="0.25">
      <c r="B20" s="32">
        <v>2020</v>
      </c>
      <c r="C20" s="198" t="s">
        <v>282</v>
      </c>
      <c r="D20" s="259" cm="1">
        <f t="array" aca="1" ref="D20" ca="1">_xlfn.XLOOKUP(D$13,INDIRECT("'"&amp;$B20&amp;" EI'!$B$6:$B$53"),_xlfn.XLOOKUP($C$10,INDIRECT("'"&amp;$B20&amp;" EI'!$D$4:$Z$4"),INDIRECT("'"&amp;$B20&amp;" EI'!$D$6:$Z$53")))*_xlfn.XLOOKUP($B20&amp;D$15,'Gas Useage'!$A$4:$A$15&amp;'Gas Useage'!$B$4:$B$15,_xlfn.XLOOKUP($C20&amp;D$14,'Gas Useage'!$C$2:$AB$2&amp;'Gas Useage'!$C$3:$AB$3,'Gas Useage'!$C$4:$AB$15))/_xlfn.XLOOKUP($B20&amp;D$15,'Gas Useage'!$A$4:$A$15&amp;'Gas Useage'!$B$4:$B$15,_xlfn.XLOOKUP(D$14,'Gas Useage'!$AA$3:$AB$3,'Gas Useage'!$AA$4:$AB$15))</f>
        <v>14.821687709365992</v>
      </c>
      <c r="E20" s="259" cm="1">
        <f t="array" aca="1" ref="E20" ca="1">_xlfn.XLOOKUP(E$13,INDIRECT("'"&amp;$B20&amp;" EI'!$B$6:$B$53"),_xlfn.XLOOKUP($C$10,INDIRECT("'"&amp;$B20&amp;" EI'!$D$4:$Z$4"),INDIRECT("'"&amp;$B20&amp;" EI'!$D$6:$Z$53")))*_xlfn.XLOOKUP($B20&amp;E$15,'Gas Useage'!$A$4:$A$15&amp;'Gas Useage'!$B$4:$B$15,_xlfn.XLOOKUP($C20&amp;E$14,'Gas Useage'!$C$2:$AB$2&amp;'Gas Useage'!$C$3:$AB$3,'Gas Useage'!$C$4:$AB$15))/_xlfn.XLOOKUP($B20&amp;E$15,'Gas Useage'!$A$4:$A$15&amp;'Gas Useage'!$B$4:$B$15,_xlfn.XLOOKUP(E$14,'Gas Useage'!$AA$3:$AB$3,'Gas Useage'!$AA$4:$AB$15))</f>
        <v>2.0191676404077024</v>
      </c>
      <c r="F20" s="259" cm="1">
        <f t="array" aca="1" ref="F20" ca="1">_xlfn.XLOOKUP(F$13,INDIRECT("'"&amp;$B20&amp;" EI'!$B$6:$B$53"),_xlfn.XLOOKUP($C$10,INDIRECT("'"&amp;$B20&amp;" EI'!$D$4:$Z$4"),INDIRECT("'"&amp;$B20&amp;" EI'!$D$6:$Z$53")))*_xlfn.XLOOKUP($B20&amp;F$15,'Gas Useage'!$A$4:$A$15&amp;'Gas Useage'!$B$4:$B$15,_xlfn.XLOOKUP($C20&amp;F$14,'Gas Useage'!$C$2:$AB$2&amp;'Gas Useage'!$C$3:$AB$3,'Gas Useage'!$C$4:$AB$15))/_xlfn.XLOOKUP($B20&amp;F$15,'Gas Useage'!$A$4:$A$15&amp;'Gas Useage'!$B$4:$B$15,_xlfn.XLOOKUP(F$14,'Gas Useage'!$AA$3:$AB$3,'Gas Useage'!$AA$4:$AB$15))</f>
        <v>7.1600783822500982E-3</v>
      </c>
      <c r="G20" s="259" cm="1">
        <f t="array" aca="1" ref="G20" ca="1">_xlfn.XLOOKUP(G$13,INDIRECT("'"&amp;$B20&amp;" EI'!$B$6:$B$53"),_xlfn.XLOOKUP($C$10,INDIRECT("'"&amp;$B20&amp;" EI'!$D$4:$Z$4"),INDIRECT("'"&amp;$B20&amp;" EI'!$D$6:$Z$53")))*_xlfn.XLOOKUP($B20&amp;G$15,'Gas Useage'!$A$4:$A$15&amp;'Gas Useage'!$B$4:$B$15,_xlfn.XLOOKUP($C20&amp;G$14,'Gas Useage'!$C$2:$AB$2&amp;'Gas Useage'!$C$3:$AB$3,'Gas Useage'!$C$4:$AB$15))/_xlfn.XLOOKUP($B20&amp;G$15,'Gas Useage'!$A$4:$A$15&amp;'Gas Useage'!$B$4:$B$15,_xlfn.XLOOKUP(G$14,'Gas Useage'!$AA$3:$AB$3,'Gas Useage'!$AA$4:$AB$15))</f>
        <v>9.7542188553104766E-4</v>
      </c>
      <c r="H20" s="260" t="s">
        <v>278</v>
      </c>
      <c r="I20" s="260" t="s">
        <v>278</v>
      </c>
      <c r="J20" s="260" t="s">
        <v>278</v>
      </c>
      <c r="K20" s="261" t="s">
        <v>278</v>
      </c>
      <c r="N20" s="258"/>
    </row>
    <row r="21" spans="2:14" ht="13.5" hidden="1" x14ac:dyDescent="0.25">
      <c r="B21" s="32">
        <v>2020</v>
      </c>
      <c r="C21" s="198" t="s">
        <v>283</v>
      </c>
      <c r="D21" s="259" cm="1">
        <f t="array" aca="1" ref="D21" ca="1">_xlfn.XLOOKUP(D$13,INDIRECT("'"&amp;$B21&amp;" EI'!$B$6:$B$53"),_xlfn.XLOOKUP($C$10,INDIRECT("'"&amp;$B21&amp;" EI'!$D$4:$Z$4"),INDIRECT("'"&amp;$B21&amp;" EI'!$D$6:$Z$53")))*_xlfn.XLOOKUP($B21&amp;D$15,'Gas Useage'!$A$4:$A$15&amp;'Gas Useage'!$B$4:$B$15,_xlfn.XLOOKUP($C21&amp;D$14,'Gas Useage'!$C$2:$AB$2&amp;'Gas Useage'!$C$3:$AB$3,'Gas Useage'!$C$4:$AB$15))/_xlfn.XLOOKUP($B21&amp;D$15,'Gas Useage'!$A$4:$A$15&amp;'Gas Useage'!$B$4:$B$15,_xlfn.XLOOKUP(D$14,'Gas Useage'!$AA$3:$AB$3,'Gas Useage'!$AA$4:$AB$15))</f>
        <v>0</v>
      </c>
      <c r="E21" s="259" cm="1">
        <f t="array" aca="1" ref="E21" ca="1">_xlfn.XLOOKUP(E$13,INDIRECT("'"&amp;$B21&amp;" EI'!$B$6:$B$53"),_xlfn.XLOOKUP($C$10,INDIRECT("'"&amp;$B21&amp;" EI'!$D$4:$Z$4"),INDIRECT("'"&amp;$B21&amp;" EI'!$D$6:$Z$53")))*_xlfn.XLOOKUP($B21&amp;E$15,'Gas Useage'!$A$4:$A$15&amp;'Gas Useage'!$B$4:$B$15,_xlfn.XLOOKUP($C21&amp;E$14,'Gas Useage'!$C$2:$AB$2&amp;'Gas Useage'!$C$3:$AB$3,'Gas Useage'!$C$4:$AB$15))/_xlfn.XLOOKUP($B21&amp;E$15,'Gas Useage'!$A$4:$A$15&amp;'Gas Useage'!$B$4:$B$15,_xlfn.XLOOKUP(E$14,'Gas Useage'!$AA$3:$AB$3,'Gas Useage'!$AA$4:$AB$15))</f>
        <v>0</v>
      </c>
      <c r="F21" s="259" cm="1">
        <f t="array" aca="1" ref="F21" ca="1">_xlfn.XLOOKUP(F$13,INDIRECT("'"&amp;$B21&amp;" EI'!$B$6:$B$53"),_xlfn.XLOOKUP($C$10,INDIRECT("'"&amp;$B21&amp;" EI'!$D$4:$Z$4"),INDIRECT("'"&amp;$B21&amp;" EI'!$D$6:$Z$53")))*_xlfn.XLOOKUP($B21&amp;F$15,'Gas Useage'!$A$4:$A$15&amp;'Gas Useage'!$B$4:$B$15,_xlfn.XLOOKUP($C21&amp;F$14,'Gas Useage'!$C$2:$AB$2&amp;'Gas Useage'!$C$3:$AB$3,'Gas Useage'!$C$4:$AB$15))/_xlfn.XLOOKUP($B21&amp;F$15,'Gas Useage'!$A$4:$A$15&amp;'Gas Useage'!$B$4:$B$15,_xlfn.XLOOKUP(F$14,'Gas Useage'!$AA$3:$AB$3,'Gas Useage'!$AA$4:$AB$15))</f>
        <v>0</v>
      </c>
      <c r="G21" s="259" cm="1">
        <f t="array" aca="1" ref="G21" ca="1">_xlfn.XLOOKUP(G$13,INDIRECT("'"&amp;$B21&amp;" EI'!$B$6:$B$53"),_xlfn.XLOOKUP($C$10,INDIRECT("'"&amp;$B21&amp;" EI'!$D$4:$Z$4"),INDIRECT("'"&amp;$B21&amp;" EI'!$D$6:$Z$53")))*_xlfn.XLOOKUP($B21&amp;G$15,'Gas Useage'!$A$4:$A$15&amp;'Gas Useage'!$B$4:$B$15,_xlfn.XLOOKUP($C21&amp;G$14,'Gas Useage'!$C$2:$AB$2&amp;'Gas Useage'!$C$3:$AB$3,'Gas Useage'!$C$4:$AB$15))/_xlfn.XLOOKUP($B21&amp;G$15,'Gas Useage'!$A$4:$A$15&amp;'Gas Useage'!$B$4:$B$15,_xlfn.XLOOKUP(G$14,'Gas Useage'!$AA$3:$AB$3,'Gas Useage'!$AA$4:$AB$15))</f>
        <v>0</v>
      </c>
      <c r="H21" s="260" t="s">
        <v>278</v>
      </c>
      <c r="I21" s="260" t="s">
        <v>278</v>
      </c>
      <c r="J21" s="260" t="s">
        <v>278</v>
      </c>
      <c r="K21" s="261" t="s">
        <v>278</v>
      </c>
      <c r="N21" s="258"/>
    </row>
    <row r="22" spans="2:14" ht="13.5" hidden="1" x14ac:dyDescent="0.25">
      <c r="B22" s="32">
        <v>2020</v>
      </c>
      <c r="C22" s="198" t="s">
        <v>284</v>
      </c>
      <c r="D22" s="259" cm="1">
        <f t="array" aca="1" ref="D22" ca="1">_xlfn.XLOOKUP(D$13,INDIRECT("'"&amp;$B22&amp;" EI'!$B$6:$B$53"),_xlfn.XLOOKUP($C$10,INDIRECT("'"&amp;$B22&amp;" EI'!$D$4:$Z$4"),INDIRECT("'"&amp;$B22&amp;" EI'!$D$6:$Z$53")))*_xlfn.XLOOKUP($B22&amp;D$15,'Gas Useage'!$A$4:$A$15&amp;'Gas Useage'!$B$4:$B$15,_xlfn.XLOOKUP($C22&amp;D$14,'Gas Useage'!$C$2:$AB$2&amp;'Gas Useage'!$C$3:$AB$3,'Gas Useage'!$C$4:$AB$15))/_xlfn.XLOOKUP($B22&amp;D$15,'Gas Useage'!$A$4:$A$15&amp;'Gas Useage'!$B$4:$B$15,_xlfn.XLOOKUP(D$14,'Gas Useage'!$AA$3:$AB$3,'Gas Useage'!$AA$4:$AB$15))</f>
        <v>595.88040311804582</v>
      </c>
      <c r="E22" s="259" cm="1">
        <f t="array" aca="1" ref="E22" ca="1">_xlfn.XLOOKUP(E$13,INDIRECT("'"&amp;$B22&amp;" EI'!$B$6:$B$53"),_xlfn.XLOOKUP($C$10,INDIRECT("'"&amp;$B22&amp;" EI'!$D$4:$Z$4"),INDIRECT("'"&amp;$B22&amp;" EI'!$D$6:$Z$53")))*_xlfn.XLOOKUP($B22&amp;E$15,'Gas Useage'!$A$4:$A$15&amp;'Gas Useage'!$B$4:$B$15,_xlfn.XLOOKUP($C22&amp;E$14,'Gas Useage'!$C$2:$AB$2&amp;'Gas Useage'!$C$3:$AB$3,'Gas Useage'!$C$4:$AB$15))/_xlfn.XLOOKUP($B22&amp;E$15,'Gas Useage'!$A$4:$A$15&amp;'Gas Useage'!$B$4:$B$15,_xlfn.XLOOKUP(E$14,'Gas Useage'!$AA$3:$AB$3,'Gas Useage'!$AA$4:$AB$15))</f>
        <v>129.49426267059155</v>
      </c>
      <c r="F22" s="259" cm="1">
        <f t="array" aca="1" ref="F22" ca="1">_xlfn.XLOOKUP(F$13,INDIRECT("'"&amp;$B22&amp;" EI'!$B$6:$B$53"),_xlfn.XLOOKUP($C$10,INDIRECT("'"&amp;$B22&amp;" EI'!$D$4:$Z$4"),INDIRECT("'"&amp;$B22&amp;" EI'!$D$6:$Z$53")))*_xlfn.XLOOKUP($B22&amp;F$15,'Gas Useage'!$A$4:$A$15&amp;'Gas Useage'!$B$4:$B$15,_xlfn.XLOOKUP($C22&amp;F$14,'Gas Useage'!$C$2:$AB$2&amp;'Gas Useage'!$C$3:$AB$3,'Gas Useage'!$C$4:$AB$15))/_xlfn.XLOOKUP($B22&amp;F$15,'Gas Useage'!$A$4:$A$15&amp;'Gas Useage'!$B$4:$B$15,_xlfn.XLOOKUP(F$14,'Gas Useage'!$AA$3:$AB$3,'Gas Useage'!$AA$4:$AB$15))</f>
        <v>374.54419544884161</v>
      </c>
      <c r="G22" s="259" cm="1">
        <f t="array" aca="1" ref="G22" ca="1">_xlfn.XLOOKUP(G$13,INDIRECT("'"&amp;$B22&amp;" EI'!$B$6:$B$53"),_xlfn.XLOOKUP($C$10,INDIRECT("'"&amp;$B22&amp;" EI'!$D$4:$Z$4"),INDIRECT("'"&amp;$B22&amp;" EI'!$D$6:$Z$53")))*_xlfn.XLOOKUP($B22&amp;G$15,'Gas Useage'!$A$4:$A$15&amp;'Gas Useage'!$B$4:$B$15,_xlfn.XLOOKUP($C22&amp;G$14,'Gas Useage'!$C$2:$AB$2&amp;'Gas Useage'!$C$3:$AB$3,'Gas Useage'!$C$4:$AB$15))/_xlfn.XLOOKUP($B22&amp;G$15,'Gas Useage'!$A$4:$A$15&amp;'Gas Useage'!$B$4:$B$15,_xlfn.XLOOKUP(G$14,'Gas Useage'!$AA$3:$AB$3,'Gas Useage'!$AA$4:$AB$15))</f>
        <v>81.394394199584724</v>
      </c>
      <c r="H22" s="260" t="s">
        <v>278</v>
      </c>
      <c r="I22" s="260" t="s">
        <v>278</v>
      </c>
      <c r="J22" s="260" t="s">
        <v>278</v>
      </c>
      <c r="K22" s="261" t="s">
        <v>278</v>
      </c>
      <c r="N22" s="258"/>
    </row>
    <row r="23" spans="2:14" ht="13.5" hidden="1" x14ac:dyDescent="0.25">
      <c r="B23" s="32">
        <v>2020</v>
      </c>
      <c r="C23" s="198" t="s">
        <v>285</v>
      </c>
      <c r="D23" s="259" cm="1">
        <f t="array" aca="1" ref="D23" ca="1">_xlfn.XLOOKUP(D$13,INDIRECT("'"&amp;$B23&amp;" EI'!$B$6:$B$53"),_xlfn.XLOOKUP($C$10,INDIRECT("'"&amp;$B23&amp;" EI'!$D$4:$Z$4"),INDIRECT("'"&amp;$B23&amp;" EI'!$D$6:$Z$53")))*_xlfn.XLOOKUP($B23&amp;D$15,'Gas Useage'!$A$4:$A$15&amp;'Gas Useage'!$B$4:$B$15,_xlfn.XLOOKUP($C23&amp;D$14,'Gas Useage'!$C$2:$AB$2&amp;'Gas Useage'!$C$3:$AB$3,'Gas Useage'!$C$4:$AB$15))/_xlfn.XLOOKUP($B23&amp;D$15,'Gas Useage'!$A$4:$A$15&amp;'Gas Useage'!$B$4:$B$15,_xlfn.XLOOKUP(D$14,'Gas Useage'!$AA$3:$AB$3,'Gas Useage'!$AA$4:$AB$15))</f>
        <v>599.33922451637238</v>
      </c>
      <c r="E23" s="259" cm="1">
        <f t="array" aca="1" ref="E23" ca="1">_xlfn.XLOOKUP(E$13,INDIRECT("'"&amp;$B23&amp;" EI'!$B$6:$B$53"),_xlfn.XLOOKUP($C$10,INDIRECT("'"&amp;$B23&amp;" EI'!$D$4:$Z$4"),INDIRECT("'"&amp;$B23&amp;" EI'!$D$6:$Z$53")))*_xlfn.XLOOKUP($B23&amp;E$15,'Gas Useage'!$A$4:$A$15&amp;'Gas Useage'!$B$4:$B$15,_xlfn.XLOOKUP($C23&amp;E$14,'Gas Useage'!$C$2:$AB$2&amp;'Gas Useage'!$C$3:$AB$3,'Gas Useage'!$C$4:$AB$15))/_xlfn.XLOOKUP($B23&amp;E$15,'Gas Useage'!$A$4:$A$15&amp;'Gas Useage'!$B$4:$B$15,_xlfn.XLOOKUP(E$14,'Gas Useage'!$AA$3:$AB$3,'Gas Useage'!$AA$4:$AB$15))</f>
        <v>99.033227040845418</v>
      </c>
      <c r="F23" s="259" cm="1">
        <f t="array" aca="1" ref="F23" ca="1">_xlfn.XLOOKUP(F$13,INDIRECT("'"&amp;$B23&amp;" EI'!$B$6:$B$53"),_xlfn.XLOOKUP($C$10,INDIRECT("'"&amp;$B23&amp;" EI'!$D$4:$Z$4"),INDIRECT("'"&amp;$B23&amp;" EI'!$D$6:$Z$53")))*_xlfn.XLOOKUP($B23&amp;F$15,'Gas Useage'!$A$4:$A$15&amp;'Gas Useage'!$B$4:$B$15,_xlfn.XLOOKUP($C23&amp;F$14,'Gas Useage'!$C$2:$AB$2&amp;'Gas Useage'!$C$3:$AB$3,'Gas Useage'!$C$4:$AB$15))/_xlfn.XLOOKUP($B23&amp;F$15,'Gas Useage'!$A$4:$A$15&amp;'Gas Useage'!$B$4:$B$15,_xlfn.XLOOKUP(F$14,'Gas Useage'!$AA$3:$AB$3,'Gas Useage'!$AA$4:$AB$15))</f>
        <v>69.436289253092539</v>
      </c>
      <c r="G23" s="259" cm="1">
        <f t="array" aca="1" ref="G23" ca="1">_xlfn.XLOOKUP(G$13,INDIRECT("'"&amp;$B23&amp;" EI'!$B$6:$B$53"),_xlfn.XLOOKUP($C$10,INDIRECT("'"&amp;$B23&amp;" EI'!$D$4:$Z$4"),INDIRECT("'"&amp;$B23&amp;" EI'!$D$6:$Z$53")))*_xlfn.XLOOKUP($B23&amp;G$15,'Gas Useage'!$A$4:$A$15&amp;'Gas Useage'!$B$4:$B$15,_xlfn.XLOOKUP($C23&amp;G$14,'Gas Useage'!$C$2:$AB$2&amp;'Gas Useage'!$C$3:$AB$3,'Gas Useage'!$C$4:$AB$15))/_xlfn.XLOOKUP($B23&amp;G$15,'Gas Useage'!$A$4:$A$15&amp;'Gas Useage'!$B$4:$B$15,_xlfn.XLOOKUP(G$14,'Gas Useage'!$AA$3:$AB$3,'Gas Useage'!$AA$4:$AB$15))</f>
        <v>11.473468642110342</v>
      </c>
      <c r="H23" s="260" t="s">
        <v>278</v>
      </c>
      <c r="I23" s="260" t="s">
        <v>278</v>
      </c>
      <c r="J23" s="260" t="s">
        <v>278</v>
      </c>
      <c r="K23" s="261" t="s">
        <v>278</v>
      </c>
      <c r="N23" s="258"/>
    </row>
    <row r="24" spans="2:14" ht="13.5" hidden="1" x14ac:dyDescent="0.25">
      <c r="B24" s="32">
        <v>2020</v>
      </c>
      <c r="C24" s="198" t="s">
        <v>286</v>
      </c>
      <c r="D24" s="259" cm="1">
        <f t="array" aca="1" ref="D24" ca="1">_xlfn.XLOOKUP(D$13,INDIRECT("'"&amp;$B24&amp;" EI'!$B$6:$B$53"),_xlfn.XLOOKUP($C$10,INDIRECT("'"&amp;$B24&amp;" EI'!$D$4:$Z$4"),INDIRECT("'"&amp;$B24&amp;" EI'!$D$6:$Z$53")))*_xlfn.XLOOKUP($B24&amp;D$15,'Gas Useage'!$A$4:$A$15&amp;'Gas Useage'!$B$4:$B$15,_xlfn.XLOOKUP($C24&amp;D$14,'Gas Useage'!$C$2:$AB$2&amp;'Gas Useage'!$C$3:$AB$3,'Gas Useage'!$C$4:$AB$15))/_xlfn.XLOOKUP($B24&amp;D$15,'Gas Useage'!$A$4:$A$15&amp;'Gas Useage'!$B$4:$B$15,_xlfn.XLOOKUP(D$14,'Gas Useage'!$AA$3:$AB$3,'Gas Useage'!$AA$4:$AB$15))</f>
        <v>164.53208518753749</v>
      </c>
      <c r="E24" s="259" cm="1">
        <f t="array" aca="1" ref="E24" ca="1">_xlfn.XLOOKUP(E$13,INDIRECT("'"&amp;$B24&amp;" EI'!$B$6:$B$53"),_xlfn.XLOOKUP($C$10,INDIRECT("'"&amp;$B24&amp;" EI'!$D$4:$Z$4"),INDIRECT("'"&amp;$B24&amp;" EI'!$D$6:$Z$53")))*_xlfn.XLOOKUP($B24&amp;E$15,'Gas Useage'!$A$4:$A$15&amp;'Gas Useage'!$B$4:$B$15,_xlfn.XLOOKUP($C24&amp;E$14,'Gas Useage'!$C$2:$AB$2&amp;'Gas Useage'!$C$3:$AB$3,'Gas Useage'!$C$4:$AB$15))/_xlfn.XLOOKUP($B24&amp;E$15,'Gas Useage'!$A$4:$A$15&amp;'Gas Useage'!$B$4:$B$15,_xlfn.XLOOKUP(E$14,'Gas Useage'!$AA$3:$AB$3,'Gas Useage'!$AA$4:$AB$15))</f>
        <v>44.349974446179779</v>
      </c>
      <c r="F24" s="259" cm="1">
        <f t="array" aca="1" ref="F24" ca="1">_xlfn.XLOOKUP(F$13,INDIRECT("'"&amp;$B24&amp;" EI'!$B$6:$B$53"),_xlfn.XLOOKUP($C$10,INDIRECT("'"&amp;$B24&amp;" EI'!$D$4:$Z$4"),INDIRECT("'"&amp;$B24&amp;" EI'!$D$6:$Z$53")))*_xlfn.XLOOKUP($B24&amp;F$15,'Gas Useage'!$A$4:$A$15&amp;'Gas Useage'!$B$4:$B$15,_xlfn.XLOOKUP($C24&amp;F$14,'Gas Useage'!$C$2:$AB$2&amp;'Gas Useage'!$C$3:$AB$3,'Gas Useage'!$C$4:$AB$15))/_xlfn.XLOOKUP($B24&amp;F$15,'Gas Useage'!$A$4:$A$15&amp;'Gas Useage'!$B$4:$B$15,_xlfn.XLOOKUP(F$14,'Gas Useage'!$AA$3:$AB$3,'Gas Useage'!$AA$4:$AB$15))</f>
        <v>1.1263760611703875</v>
      </c>
      <c r="G24" s="259" cm="1">
        <f t="array" aca="1" ref="G24" ca="1">_xlfn.XLOOKUP(G$13,INDIRECT("'"&amp;$B24&amp;" EI'!$B$6:$B$53"),_xlfn.XLOOKUP($C$10,INDIRECT("'"&amp;$B24&amp;" EI'!$D$4:$Z$4"),INDIRECT("'"&amp;$B24&amp;" EI'!$D$6:$Z$53")))*_xlfn.XLOOKUP($B24&amp;G$15,'Gas Useage'!$A$4:$A$15&amp;'Gas Useage'!$B$4:$B$15,_xlfn.XLOOKUP($C24&amp;G$14,'Gas Useage'!$C$2:$AB$2&amp;'Gas Useage'!$C$3:$AB$3,'Gas Useage'!$C$4:$AB$15))/_xlfn.XLOOKUP($B24&amp;G$15,'Gas Useage'!$A$4:$A$15&amp;'Gas Useage'!$B$4:$B$15,_xlfn.XLOOKUP(G$14,'Gas Useage'!$AA$3:$AB$3,'Gas Useage'!$AA$4:$AB$15))</f>
        <v>0.30361706941692085</v>
      </c>
      <c r="H24" s="260" t="s">
        <v>278</v>
      </c>
      <c r="I24" s="260" t="s">
        <v>278</v>
      </c>
      <c r="J24" s="260" t="s">
        <v>278</v>
      </c>
      <c r="K24" s="261" t="s">
        <v>278</v>
      </c>
      <c r="N24" s="258"/>
    </row>
    <row r="25" spans="2:14" ht="13.5" x14ac:dyDescent="0.25">
      <c r="B25" s="32">
        <v>2020</v>
      </c>
      <c r="C25" s="494" t="s">
        <v>287</v>
      </c>
      <c r="D25" s="259" cm="1">
        <f t="array" aca="1" ref="D25" ca="1">_xlfn.XLOOKUP(D$13,INDIRECT("'"&amp;$B25&amp;" EI'!$B$6:$B$53"),_xlfn.XLOOKUP($C$10,INDIRECT("'"&amp;$B25&amp;" EI'!$D$4:$Z$4"),INDIRECT("'"&amp;$B25&amp;" EI'!$D$6:$Z$53")))*_xlfn.XLOOKUP($B25&amp;D$15,'Gas Useage'!$A$4:$A$15&amp;'Gas Useage'!$B$4:$B$15,_xlfn.XLOOKUP($C25&amp;D$14,'Gas Useage'!$C$2:$AB$2&amp;'Gas Useage'!$C$3:$AB$3,'Gas Useage'!$C$4:$AB$15))/_xlfn.XLOOKUP($B25&amp;D$15,'Gas Useage'!$A$4:$A$15&amp;'Gas Useage'!$B$4:$B$15,_xlfn.XLOOKUP(D$14,'Gas Useage'!$AA$3:$AB$3,'Gas Useage'!$AA$4:$AB$15))</f>
        <v>191.3864141178413</v>
      </c>
      <c r="E25" s="259" cm="1">
        <f t="array" aca="1" ref="E25" ca="1">_xlfn.XLOOKUP(E$13,INDIRECT("'"&amp;$B25&amp;" EI'!$B$6:$B$53"),_xlfn.XLOOKUP($C$10,INDIRECT("'"&amp;$B25&amp;" EI'!$D$4:$Z$4"),INDIRECT("'"&amp;$B25&amp;" EI'!$D$6:$Z$53")))*_xlfn.XLOOKUP($B25&amp;E$15,'Gas Useage'!$A$4:$A$15&amp;'Gas Useage'!$B$4:$B$15,_xlfn.XLOOKUP($C25&amp;E$14,'Gas Useage'!$C$2:$AB$2&amp;'Gas Useage'!$C$3:$AB$3,'Gas Useage'!$C$4:$AB$15))/_xlfn.XLOOKUP($B25&amp;E$15,'Gas Useage'!$A$4:$A$15&amp;'Gas Useage'!$B$4:$B$15,_xlfn.XLOOKUP(E$14,'Gas Useage'!$AA$3:$AB$3,'Gas Useage'!$AA$4:$AB$15))</f>
        <v>36.018826082216108</v>
      </c>
      <c r="F25" s="259" cm="1">
        <f t="array" aca="1" ref="F25" ca="1">_xlfn.XLOOKUP(F$13,INDIRECT("'"&amp;$B25&amp;" EI'!$B$6:$B$53"),_xlfn.XLOOKUP($C$10,INDIRECT("'"&amp;$B25&amp;" EI'!$D$4:$Z$4"),INDIRECT("'"&amp;$B25&amp;" EI'!$D$6:$Z$53")))*_xlfn.XLOOKUP($B25&amp;F$15,'Gas Useage'!$A$4:$A$15&amp;'Gas Useage'!$B$4:$B$15,_xlfn.XLOOKUP($C25&amp;F$14,'Gas Useage'!$C$2:$AB$2&amp;'Gas Useage'!$C$3:$AB$3,'Gas Useage'!$C$4:$AB$15))/_xlfn.XLOOKUP($B25&amp;F$15,'Gas Useage'!$A$4:$A$15&amp;'Gas Useage'!$B$4:$B$15,_xlfn.XLOOKUP(F$14,'Gas Useage'!$AA$3:$AB$3,'Gas Useage'!$AA$4:$AB$15))</f>
        <v>442.61128375224365</v>
      </c>
      <c r="G25" s="259" cm="1">
        <f t="array" aca="1" ref="G25" ca="1">_xlfn.XLOOKUP(G$13,INDIRECT("'"&amp;$B25&amp;" EI'!$B$6:$B$53"),_xlfn.XLOOKUP($C$10,INDIRECT("'"&amp;$B25&amp;" EI'!$D$4:$Z$4"),INDIRECT("'"&amp;$B25&amp;" EI'!$D$6:$Z$53")))*_xlfn.XLOOKUP($B25&amp;G$15,'Gas Useage'!$A$4:$A$15&amp;'Gas Useage'!$B$4:$B$15,_xlfn.XLOOKUP($C25&amp;G$14,'Gas Useage'!$C$2:$AB$2&amp;'Gas Useage'!$C$3:$AB$3,'Gas Useage'!$C$4:$AB$15))/_xlfn.XLOOKUP($B25&amp;G$15,'Gas Useage'!$A$4:$A$15&amp;'Gas Useage'!$B$4:$B$15,_xlfn.XLOOKUP(G$14,'Gas Useage'!$AA$3:$AB$3,'Gas Useage'!$AA$4:$AB$15))</f>
        <v>83.299219147720635</v>
      </c>
      <c r="H25" s="260" t="s">
        <v>278</v>
      </c>
      <c r="I25" s="260" t="s">
        <v>278</v>
      </c>
      <c r="J25" s="260" t="s">
        <v>278</v>
      </c>
      <c r="K25" s="261" t="s">
        <v>278</v>
      </c>
      <c r="N25" s="258"/>
    </row>
    <row r="26" spans="2:14" ht="13.5" x14ac:dyDescent="0.25">
      <c r="B26" s="32">
        <v>2020</v>
      </c>
      <c r="C26" s="494" t="s">
        <v>288</v>
      </c>
      <c r="D26" s="259" cm="1">
        <f t="array" aca="1" ref="D26" ca="1">_xlfn.XLOOKUP(D$13,INDIRECT("'"&amp;$B26&amp;" EI'!$B$6:$B$53"),_xlfn.XLOOKUP($C$10,INDIRECT("'"&amp;$B26&amp;" EI'!$D$4:$Z$4"),INDIRECT("'"&amp;$B26&amp;" EI'!$D$6:$Z$53")))*_xlfn.XLOOKUP($B26&amp;D$15,'Gas Useage'!$A$4:$A$15&amp;'Gas Useage'!$B$4:$B$15,_xlfn.XLOOKUP($C26&amp;D$14,'Gas Useage'!$C$2:$AB$2&amp;'Gas Useage'!$C$3:$AB$3,'Gas Useage'!$C$4:$AB$15))/_xlfn.XLOOKUP($B26&amp;D$15,'Gas Useage'!$A$4:$A$15&amp;'Gas Useage'!$B$4:$B$15,_xlfn.XLOOKUP(D$14,'Gas Useage'!$AA$3:$AB$3,'Gas Useage'!$AA$4:$AB$15))</f>
        <v>412.66778634380489</v>
      </c>
      <c r="E26" s="259" cm="1">
        <f t="array" aca="1" ref="E26" ca="1">_xlfn.XLOOKUP(E$13,INDIRECT("'"&amp;$B26&amp;" EI'!$B$6:$B$53"),_xlfn.XLOOKUP($C$10,INDIRECT("'"&amp;$B26&amp;" EI'!$D$4:$Z$4"),INDIRECT("'"&amp;$B26&amp;" EI'!$D$6:$Z$53")))*_xlfn.XLOOKUP($B26&amp;E$15,'Gas Useage'!$A$4:$A$15&amp;'Gas Useage'!$B$4:$B$15,_xlfn.XLOOKUP($C26&amp;E$14,'Gas Useage'!$C$2:$AB$2&amp;'Gas Useage'!$C$3:$AB$3,'Gas Useage'!$C$4:$AB$15))/_xlfn.XLOOKUP($B26&amp;E$15,'Gas Useage'!$A$4:$A$15&amp;'Gas Useage'!$B$4:$B$15,_xlfn.XLOOKUP(E$14,'Gas Useage'!$AA$3:$AB$3,'Gas Useage'!$AA$4:$AB$15))</f>
        <v>104.92187617604857</v>
      </c>
      <c r="F26" s="259" cm="1">
        <f t="array" aca="1" ref="F26" ca="1">_xlfn.XLOOKUP(F$13,INDIRECT("'"&amp;$B26&amp;" EI'!$B$6:$B$53"),_xlfn.XLOOKUP($C$10,INDIRECT("'"&amp;$B26&amp;" EI'!$D$4:$Z$4"),INDIRECT("'"&amp;$B26&amp;" EI'!$D$6:$Z$53")))*_xlfn.XLOOKUP($B26&amp;F$15,'Gas Useage'!$A$4:$A$15&amp;'Gas Useage'!$B$4:$B$15,_xlfn.XLOOKUP($C26&amp;F$14,'Gas Useage'!$C$2:$AB$2&amp;'Gas Useage'!$C$3:$AB$3,'Gas Useage'!$C$4:$AB$15))/_xlfn.XLOOKUP($B26&amp;F$15,'Gas Useage'!$A$4:$A$15&amp;'Gas Useage'!$B$4:$B$15,_xlfn.XLOOKUP(F$14,'Gas Useage'!$AA$3:$AB$3,'Gas Useage'!$AA$4:$AB$15))</f>
        <v>624.65880538033105</v>
      </c>
      <c r="G26" s="259" cm="1">
        <f t="array" aca="1" ref="G26" ca="1">_xlfn.XLOOKUP(G$13,INDIRECT("'"&amp;$B26&amp;" EI'!$B$6:$B$53"),_xlfn.XLOOKUP($C$10,INDIRECT("'"&amp;$B26&amp;" EI'!$D$4:$Z$4"),INDIRECT("'"&amp;$B26&amp;" EI'!$D$6:$Z$53")))*_xlfn.XLOOKUP($B26&amp;G$15,'Gas Useage'!$A$4:$A$15&amp;'Gas Useage'!$B$4:$B$15,_xlfn.XLOOKUP($C26&amp;G$14,'Gas Useage'!$C$2:$AB$2&amp;'Gas Useage'!$C$3:$AB$3,'Gas Useage'!$C$4:$AB$15))/_xlfn.XLOOKUP($B26&amp;G$15,'Gas Useage'!$A$4:$A$15&amp;'Gas Useage'!$B$4:$B$15,_xlfn.XLOOKUP(G$14,'Gas Useage'!$AA$3:$AB$3,'Gas Useage'!$AA$4:$AB$15))</f>
        <v>158.82115347813954</v>
      </c>
      <c r="H26" s="260" t="s">
        <v>278</v>
      </c>
      <c r="I26" s="260" t="s">
        <v>278</v>
      </c>
      <c r="J26" s="260" t="s">
        <v>278</v>
      </c>
      <c r="K26" s="261" t="s">
        <v>278</v>
      </c>
      <c r="N26" s="258"/>
    </row>
    <row r="27" spans="2:14" ht="13.5" x14ac:dyDescent="0.25">
      <c r="B27" s="32">
        <v>2020</v>
      </c>
      <c r="C27" s="494" t="s">
        <v>289</v>
      </c>
      <c r="D27" s="259" cm="1">
        <f t="array" aca="1" ref="D27" ca="1">_xlfn.XLOOKUP(D$13,INDIRECT("'"&amp;$B27&amp;" EI'!$B$6:$B$53"),_xlfn.XLOOKUP($C$10,INDIRECT("'"&amp;$B27&amp;" EI'!$D$4:$Z$4"),INDIRECT("'"&amp;$B27&amp;" EI'!$D$6:$Z$53")))*_xlfn.XLOOKUP($B27&amp;D$15,'Gas Useage'!$A$4:$A$15&amp;'Gas Useage'!$B$4:$B$15,_xlfn.XLOOKUP($C27&amp;D$14,'Gas Useage'!$C$2:$AB$2&amp;'Gas Useage'!$C$3:$AB$3,'Gas Useage'!$C$4:$AB$15))/_xlfn.XLOOKUP($B27&amp;D$15,'Gas Useage'!$A$4:$A$15&amp;'Gas Useage'!$B$4:$B$15,_xlfn.XLOOKUP(D$14,'Gas Useage'!$AA$3:$AB$3,'Gas Useage'!$AA$4:$AB$15))</f>
        <v>412.66778634380489</v>
      </c>
      <c r="E27" s="259" cm="1">
        <f t="array" aca="1" ref="E27" ca="1">_xlfn.XLOOKUP(E$13,INDIRECT("'"&amp;$B27&amp;" EI'!$B$6:$B$53"),_xlfn.XLOOKUP($C$10,INDIRECT("'"&amp;$B27&amp;" EI'!$D$4:$Z$4"),INDIRECT("'"&amp;$B27&amp;" EI'!$D$6:$Z$53")))*_xlfn.XLOOKUP($B27&amp;E$15,'Gas Useage'!$A$4:$A$15&amp;'Gas Useage'!$B$4:$B$15,_xlfn.XLOOKUP($C27&amp;E$14,'Gas Useage'!$C$2:$AB$2&amp;'Gas Useage'!$C$3:$AB$3,'Gas Useage'!$C$4:$AB$15))/_xlfn.XLOOKUP($B27&amp;E$15,'Gas Useage'!$A$4:$A$15&amp;'Gas Useage'!$B$4:$B$15,_xlfn.XLOOKUP(E$14,'Gas Useage'!$AA$3:$AB$3,'Gas Useage'!$AA$4:$AB$15))</f>
        <v>104.92187617604857</v>
      </c>
      <c r="F27" s="259" cm="1">
        <f t="array" aca="1" ref="F27" ca="1">_xlfn.XLOOKUP(F$13,INDIRECT("'"&amp;$B27&amp;" EI'!$B$6:$B$53"),_xlfn.XLOOKUP($C$10,INDIRECT("'"&amp;$B27&amp;" EI'!$D$4:$Z$4"),INDIRECT("'"&amp;$B27&amp;" EI'!$D$6:$Z$53")))*_xlfn.XLOOKUP($B27&amp;F$15,'Gas Useage'!$A$4:$A$15&amp;'Gas Useage'!$B$4:$B$15,_xlfn.XLOOKUP($C27&amp;F$14,'Gas Useage'!$C$2:$AB$2&amp;'Gas Useage'!$C$3:$AB$3,'Gas Useage'!$C$4:$AB$15))/_xlfn.XLOOKUP($B27&amp;F$15,'Gas Useage'!$A$4:$A$15&amp;'Gas Useage'!$B$4:$B$15,_xlfn.XLOOKUP(F$14,'Gas Useage'!$AA$3:$AB$3,'Gas Useage'!$AA$4:$AB$15))</f>
        <v>624.65880538033105</v>
      </c>
      <c r="G27" s="259" cm="1">
        <f t="array" aca="1" ref="G27" ca="1">_xlfn.XLOOKUP(G$13,INDIRECT("'"&amp;$B27&amp;" EI'!$B$6:$B$53"),_xlfn.XLOOKUP($C$10,INDIRECT("'"&amp;$B27&amp;" EI'!$D$4:$Z$4"),INDIRECT("'"&amp;$B27&amp;" EI'!$D$6:$Z$53")))*_xlfn.XLOOKUP($B27&amp;G$15,'Gas Useage'!$A$4:$A$15&amp;'Gas Useage'!$B$4:$B$15,_xlfn.XLOOKUP($C27&amp;G$14,'Gas Useage'!$C$2:$AB$2&amp;'Gas Useage'!$C$3:$AB$3,'Gas Useage'!$C$4:$AB$15))/_xlfn.XLOOKUP($B27&amp;G$15,'Gas Useage'!$A$4:$A$15&amp;'Gas Useage'!$B$4:$B$15,_xlfn.XLOOKUP(G$14,'Gas Useage'!$AA$3:$AB$3,'Gas Useage'!$AA$4:$AB$15))</f>
        <v>158.82115347813954</v>
      </c>
      <c r="H27" s="260" t="s">
        <v>278</v>
      </c>
      <c r="I27" s="260" t="s">
        <v>278</v>
      </c>
      <c r="J27" s="260" t="s">
        <v>278</v>
      </c>
      <c r="K27" s="261" t="s">
        <v>278</v>
      </c>
      <c r="N27" s="258"/>
    </row>
    <row r="28" spans="2:14" ht="13.5" x14ac:dyDescent="0.25">
      <c r="B28" s="32">
        <v>2021</v>
      </c>
      <c r="C28" s="494" t="s">
        <v>277</v>
      </c>
      <c r="D28" s="259" cm="1">
        <f t="array" aca="1" ref="D28" ca="1">_xlfn.XLOOKUP(D$13,INDIRECT("'"&amp;$B28&amp;" EI'!$B$6:$B$53"),_xlfn.XLOOKUP($C$10,INDIRECT("'"&amp;$B28&amp;" EI'!$D$4:$Z$4"),INDIRECT("'"&amp;$B28&amp;" EI'!$D$6:$Z$53")))*_xlfn.XLOOKUP($B28&amp;D$15,'Gas Useage'!$A$4:$A$15&amp;'Gas Useage'!$B$4:$B$15,_xlfn.XLOOKUP($C28&amp;D$14,'Gas Useage'!$C$2:$AB$2&amp;'Gas Useage'!$C$3:$AB$3,'Gas Useage'!$C$4:$AB$15))/_xlfn.XLOOKUP($B28&amp;D$15,'Gas Useage'!$A$4:$A$15&amp;'Gas Useage'!$B$4:$B$15,_xlfn.XLOOKUP(D$14,'Gas Useage'!$AA$3:$AB$3,'Gas Useage'!$AA$4:$AB$15))</f>
        <v>598.78208102882809</v>
      </c>
      <c r="E28" s="259" cm="1">
        <f t="array" aca="1" ref="E28" ca="1">_xlfn.XLOOKUP(E$13,INDIRECT("'"&amp;$B28&amp;" EI'!$B$6:$B$53"),_xlfn.XLOOKUP($C$10,INDIRECT("'"&amp;$B28&amp;" EI'!$D$4:$Z$4"),INDIRECT("'"&amp;$B28&amp;" EI'!$D$6:$Z$53")))*_xlfn.XLOOKUP($B28&amp;E$15,'Gas Useage'!$A$4:$A$15&amp;'Gas Useage'!$B$4:$B$15,_xlfn.XLOOKUP($C28&amp;E$14,'Gas Useage'!$C$2:$AB$2&amp;'Gas Useage'!$C$3:$AB$3,'Gas Useage'!$C$4:$AB$15))/_xlfn.XLOOKUP($B28&amp;E$15,'Gas Useage'!$A$4:$A$15&amp;'Gas Useage'!$B$4:$B$15,_xlfn.XLOOKUP(E$14,'Gas Useage'!$AA$3:$AB$3,'Gas Useage'!$AA$4:$AB$15))</f>
        <v>49.914852979730334</v>
      </c>
      <c r="F28" s="259" cm="1">
        <f t="array" aca="1" ref="F28" ca="1">_xlfn.XLOOKUP(F$13,INDIRECT("'"&amp;$B28&amp;" EI'!$B$6:$B$53"),_xlfn.XLOOKUP($C$10,INDIRECT("'"&amp;$B28&amp;" EI'!$D$4:$Z$4"),INDIRECT("'"&amp;$B28&amp;" EI'!$D$6:$Z$53")))*_xlfn.XLOOKUP($B28&amp;F$15,'Gas Useage'!$A$4:$A$15&amp;'Gas Useage'!$B$4:$B$15,_xlfn.XLOOKUP($C28&amp;F$14,'Gas Useage'!$C$2:$AB$2&amp;'Gas Useage'!$C$3:$AB$3,'Gas Useage'!$C$4:$AB$15))/_xlfn.XLOOKUP($B28&amp;F$15,'Gas Useage'!$A$4:$A$15&amp;'Gas Useage'!$B$4:$B$15,_xlfn.XLOOKUP(F$14,'Gas Useage'!$AA$3:$AB$3,'Gas Useage'!$AA$4:$AB$15))</f>
        <v>741.76978580952448</v>
      </c>
      <c r="G28" s="259" cm="1">
        <f t="array" aca="1" ref="G28" ca="1">_xlfn.XLOOKUP(G$13,INDIRECT("'"&amp;$B28&amp;" EI'!$B$6:$B$53"),_xlfn.XLOOKUP($C$10,INDIRECT("'"&amp;$B28&amp;" EI'!$D$4:$Z$4"),INDIRECT("'"&amp;$B28&amp;" EI'!$D$6:$Z$53")))*_xlfn.XLOOKUP($B28&amp;G$15,'Gas Useage'!$A$4:$A$15&amp;'Gas Useage'!$B$4:$B$15,_xlfn.XLOOKUP($C28&amp;G$14,'Gas Useage'!$C$2:$AB$2&amp;'Gas Useage'!$C$3:$AB$3,'Gas Useage'!$C$4:$AB$15))/_xlfn.XLOOKUP($B28&amp;G$15,'Gas Useage'!$A$4:$A$15&amp;'Gas Useage'!$B$4:$B$15,_xlfn.XLOOKUP(G$14,'Gas Useage'!$AA$3:$AB$3,'Gas Useage'!$AA$4:$AB$15))</f>
        <v>61.83439848412214</v>
      </c>
      <c r="H28" s="260" t="s">
        <v>278</v>
      </c>
      <c r="I28" s="260" t="s">
        <v>278</v>
      </c>
      <c r="J28" s="260" t="s">
        <v>278</v>
      </c>
      <c r="K28" s="261" t="s">
        <v>278</v>
      </c>
      <c r="N28" s="258"/>
    </row>
    <row r="29" spans="2:14" ht="13.5" x14ac:dyDescent="0.25">
      <c r="B29" s="32">
        <v>2021</v>
      </c>
      <c r="C29" s="494" t="s">
        <v>279</v>
      </c>
      <c r="D29" s="259" cm="1">
        <f t="array" aca="1" ref="D29" ca="1">_xlfn.XLOOKUP(D$13,INDIRECT("'"&amp;$B29&amp;" EI'!$B$6:$B$53"),_xlfn.XLOOKUP($C$10,INDIRECT("'"&amp;$B29&amp;" EI'!$D$4:$Z$4"),INDIRECT("'"&amp;$B29&amp;" EI'!$D$6:$Z$53")))*_xlfn.XLOOKUP($B29&amp;D$15,'Gas Useage'!$A$4:$A$15&amp;'Gas Useage'!$B$4:$B$15,_xlfn.XLOOKUP($C29&amp;D$14,'Gas Useage'!$C$2:$AB$2&amp;'Gas Useage'!$C$3:$AB$3,'Gas Useage'!$C$4:$AB$15))/_xlfn.XLOOKUP($B29&amp;D$15,'Gas Useage'!$A$4:$A$15&amp;'Gas Useage'!$B$4:$B$15,_xlfn.XLOOKUP(D$14,'Gas Useage'!$AA$3:$AB$3,'Gas Useage'!$AA$4:$AB$15))</f>
        <v>406.39136108777245</v>
      </c>
      <c r="E29" s="259" cm="1">
        <f t="array" aca="1" ref="E29" ca="1">_xlfn.XLOOKUP(E$13,INDIRECT("'"&amp;$B29&amp;" EI'!$B$6:$B$53"),_xlfn.XLOOKUP($C$10,INDIRECT("'"&amp;$B29&amp;" EI'!$D$4:$Z$4"),INDIRECT("'"&amp;$B29&amp;" EI'!$D$6:$Z$53")))*_xlfn.XLOOKUP($B29&amp;E$15,'Gas Useage'!$A$4:$A$15&amp;'Gas Useage'!$B$4:$B$15,_xlfn.XLOOKUP($C29&amp;E$14,'Gas Useage'!$C$2:$AB$2&amp;'Gas Useage'!$C$3:$AB$3,'Gas Useage'!$C$4:$AB$15))/_xlfn.XLOOKUP($B29&amp;E$15,'Gas Useage'!$A$4:$A$15&amp;'Gas Useage'!$B$4:$B$15,_xlfn.XLOOKUP(E$14,'Gas Useage'!$AA$3:$AB$3,'Gas Useage'!$AA$4:$AB$15))</f>
        <v>72.218841944318697</v>
      </c>
      <c r="F29" s="259" cm="1">
        <f t="array" aca="1" ref="F29" ca="1">_xlfn.XLOOKUP(F$13,INDIRECT("'"&amp;$B29&amp;" EI'!$B$6:$B$53"),_xlfn.XLOOKUP($C$10,INDIRECT("'"&amp;$B29&amp;" EI'!$D$4:$Z$4"),INDIRECT("'"&amp;$B29&amp;" EI'!$D$6:$Z$53")))*_xlfn.XLOOKUP($B29&amp;F$15,'Gas Useage'!$A$4:$A$15&amp;'Gas Useage'!$B$4:$B$15,_xlfn.XLOOKUP($C29&amp;F$14,'Gas Useage'!$C$2:$AB$2&amp;'Gas Useage'!$C$3:$AB$3,'Gas Useage'!$C$4:$AB$15))/_xlfn.XLOOKUP($B29&amp;F$15,'Gas Useage'!$A$4:$A$15&amp;'Gas Useage'!$B$4:$B$15,_xlfn.XLOOKUP(F$14,'Gas Useage'!$AA$3:$AB$3,'Gas Useage'!$AA$4:$AB$15))</f>
        <v>557.2316731709858</v>
      </c>
      <c r="G29" s="259" cm="1">
        <f t="array" aca="1" ref="G29" ca="1">_xlfn.XLOOKUP(G$13,INDIRECT("'"&amp;$B29&amp;" EI'!$B$6:$B$53"),_xlfn.XLOOKUP($C$10,INDIRECT("'"&amp;$B29&amp;" EI'!$D$4:$Z$4"),INDIRECT("'"&amp;$B29&amp;" EI'!$D$6:$Z$53")))*_xlfn.XLOOKUP($B29&amp;G$15,'Gas Useage'!$A$4:$A$15&amp;'Gas Useage'!$B$4:$B$15,_xlfn.XLOOKUP($C29&amp;G$14,'Gas Useage'!$C$2:$AB$2&amp;'Gas Useage'!$C$3:$AB$3,'Gas Useage'!$C$4:$AB$15))/_xlfn.XLOOKUP($B29&amp;G$15,'Gas Useage'!$A$4:$A$15&amp;'Gas Useage'!$B$4:$B$15,_xlfn.XLOOKUP(G$14,'Gas Useage'!$AA$3:$AB$3,'Gas Useage'!$AA$4:$AB$15))</f>
        <v>99.024314944559237</v>
      </c>
      <c r="H29" s="260" t="s">
        <v>278</v>
      </c>
      <c r="I29" s="260" t="s">
        <v>278</v>
      </c>
      <c r="J29" s="260" t="s">
        <v>278</v>
      </c>
      <c r="K29" s="261" t="s">
        <v>278</v>
      </c>
      <c r="N29" s="258"/>
    </row>
    <row r="30" spans="2:14" ht="13.5" x14ac:dyDescent="0.25">
      <c r="B30" s="32">
        <v>2021</v>
      </c>
      <c r="C30" s="494" t="s">
        <v>280</v>
      </c>
      <c r="D30" s="259" cm="1">
        <f t="array" aca="1" ref="D30" ca="1">_xlfn.XLOOKUP(D$13,INDIRECT("'"&amp;$B30&amp;" EI'!$B$6:$B$53"),_xlfn.XLOOKUP($C$10,INDIRECT("'"&amp;$B30&amp;" EI'!$D$4:$Z$4"),INDIRECT("'"&amp;$B30&amp;" EI'!$D$6:$Z$53")))*_xlfn.XLOOKUP($B30&amp;D$15,'Gas Useage'!$A$4:$A$15&amp;'Gas Useage'!$B$4:$B$15,_xlfn.XLOOKUP($C30&amp;D$14,'Gas Useage'!$C$2:$AB$2&amp;'Gas Useage'!$C$3:$AB$3,'Gas Useage'!$C$4:$AB$15))/_xlfn.XLOOKUP($B30&amp;D$15,'Gas Useage'!$A$4:$A$15&amp;'Gas Useage'!$B$4:$B$15,_xlfn.XLOOKUP(D$14,'Gas Useage'!$AA$3:$AB$3,'Gas Useage'!$AA$4:$AB$15))</f>
        <v>849.43927328201596</v>
      </c>
      <c r="E30" s="259" cm="1">
        <f t="array" aca="1" ref="E30" ca="1">_xlfn.XLOOKUP(E$13,INDIRECT("'"&amp;$B30&amp;" EI'!$B$6:$B$53"),_xlfn.XLOOKUP($C$10,INDIRECT("'"&amp;$B30&amp;" EI'!$D$4:$Z$4"),INDIRECT("'"&amp;$B30&amp;" EI'!$D$6:$Z$53")))*_xlfn.XLOOKUP($B30&amp;E$15,'Gas Useage'!$A$4:$A$15&amp;'Gas Useage'!$B$4:$B$15,_xlfn.XLOOKUP($C30&amp;E$14,'Gas Useage'!$C$2:$AB$2&amp;'Gas Useage'!$C$3:$AB$3,'Gas Useage'!$C$4:$AB$15))/_xlfn.XLOOKUP($B30&amp;E$15,'Gas Useage'!$A$4:$A$15&amp;'Gas Useage'!$B$4:$B$15,_xlfn.XLOOKUP(E$14,'Gas Useage'!$AA$3:$AB$3,'Gas Useage'!$AA$4:$AB$15))</f>
        <v>118.02217138740619</v>
      </c>
      <c r="F30" s="259" cm="1">
        <f t="array" aca="1" ref="F30" ca="1">_xlfn.XLOOKUP(F$13,INDIRECT("'"&amp;$B30&amp;" EI'!$B$6:$B$53"),_xlfn.XLOOKUP($C$10,INDIRECT("'"&amp;$B30&amp;" EI'!$D$4:$Z$4"),INDIRECT("'"&amp;$B30&amp;" EI'!$D$6:$Z$53")))*_xlfn.XLOOKUP($B30&amp;F$15,'Gas Useage'!$A$4:$A$15&amp;'Gas Useage'!$B$4:$B$15,_xlfn.XLOOKUP($C30&amp;F$14,'Gas Useage'!$C$2:$AB$2&amp;'Gas Useage'!$C$3:$AB$3,'Gas Useage'!$C$4:$AB$15))/_xlfn.XLOOKUP($B30&amp;F$15,'Gas Useage'!$A$4:$A$15&amp;'Gas Useage'!$B$4:$B$15,_xlfn.XLOOKUP(F$14,'Gas Useage'!$AA$3:$AB$3,'Gas Useage'!$AA$4:$AB$15))</f>
        <v>587.00384896550315</v>
      </c>
      <c r="G30" s="259" cm="1">
        <f t="array" aca="1" ref="G30" ca="1">_xlfn.XLOOKUP(G$13,INDIRECT("'"&amp;$B30&amp;" EI'!$B$6:$B$53"),_xlfn.XLOOKUP($C$10,INDIRECT("'"&amp;$B30&amp;" EI'!$D$4:$Z$4"),INDIRECT("'"&amp;$B30&amp;" EI'!$D$6:$Z$53")))*_xlfn.XLOOKUP($B30&amp;G$15,'Gas Useage'!$A$4:$A$15&amp;'Gas Useage'!$B$4:$B$15,_xlfn.XLOOKUP($C30&amp;G$14,'Gas Useage'!$C$2:$AB$2&amp;'Gas Useage'!$C$3:$AB$3,'Gas Useage'!$C$4:$AB$15))/_xlfn.XLOOKUP($B30&amp;G$15,'Gas Useage'!$A$4:$A$15&amp;'Gas Useage'!$B$4:$B$15,_xlfn.XLOOKUP(G$14,'Gas Useage'!$AA$3:$AB$3,'Gas Useage'!$AA$4:$AB$15))</f>
        <v>81.55906024923425</v>
      </c>
      <c r="H30" s="260" t="s">
        <v>278</v>
      </c>
      <c r="I30" s="260" t="s">
        <v>278</v>
      </c>
      <c r="J30" s="260" t="s">
        <v>278</v>
      </c>
      <c r="K30" s="261" t="s">
        <v>278</v>
      </c>
      <c r="N30" s="258"/>
    </row>
    <row r="31" spans="2:14" ht="13.5" x14ac:dyDescent="0.25">
      <c r="B31" s="32">
        <v>2021</v>
      </c>
      <c r="C31" s="494" t="s">
        <v>281</v>
      </c>
      <c r="D31" s="259" cm="1">
        <f t="array" aca="1" ref="D31" ca="1">_xlfn.XLOOKUP(D$13,INDIRECT("'"&amp;$B31&amp;" EI'!$B$6:$B$53"),_xlfn.XLOOKUP($C$10,INDIRECT("'"&amp;$B31&amp;" EI'!$D$4:$Z$4"),INDIRECT("'"&amp;$B31&amp;" EI'!$D$6:$Z$53")))*_xlfn.XLOOKUP($B31&amp;D$15,'Gas Useage'!$A$4:$A$15&amp;'Gas Useage'!$B$4:$B$15,_xlfn.XLOOKUP($C31&amp;D$14,'Gas Useage'!$C$2:$AB$2&amp;'Gas Useage'!$C$3:$AB$3,'Gas Useage'!$C$4:$AB$15))/_xlfn.XLOOKUP($B31&amp;D$15,'Gas Useage'!$A$4:$A$15&amp;'Gas Useage'!$B$4:$B$15,_xlfn.XLOOKUP(D$14,'Gas Useage'!$AA$3:$AB$3,'Gas Useage'!$AA$4:$AB$15))</f>
        <v>381.1980097285263</v>
      </c>
      <c r="E31" s="259" cm="1">
        <f t="array" aca="1" ref="E31" ca="1">_xlfn.XLOOKUP(E$13,INDIRECT("'"&amp;$B31&amp;" EI'!$B$6:$B$53"),_xlfn.XLOOKUP($C$10,INDIRECT("'"&amp;$B31&amp;" EI'!$D$4:$Z$4"),INDIRECT("'"&amp;$B31&amp;" EI'!$D$6:$Z$53")))*_xlfn.XLOOKUP($B31&amp;E$15,'Gas Useage'!$A$4:$A$15&amp;'Gas Useage'!$B$4:$B$15,_xlfn.XLOOKUP($C31&amp;E$14,'Gas Useage'!$C$2:$AB$2&amp;'Gas Useage'!$C$3:$AB$3,'Gas Useage'!$C$4:$AB$15))/_xlfn.XLOOKUP($B31&amp;E$15,'Gas Useage'!$A$4:$A$15&amp;'Gas Useage'!$B$4:$B$15,_xlfn.XLOOKUP(E$14,'Gas Useage'!$AA$3:$AB$3,'Gas Useage'!$AA$4:$AB$15))</f>
        <v>43.356488800191919</v>
      </c>
      <c r="F31" s="259" cm="1">
        <f t="array" aca="1" ref="F31" ca="1">_xlfn.XLOOKUP(F$13,INDIRECT("'"&amp;$B31&amp;" EI'!$B$6:$B$53"),_xlfn.XLOOKUP($C$10,INDIRECT("'"&amp;$B31&amp;" EI'!$D$4:$Z$4"),INDIRECT("'"&amp;$B31&amp;" EI'!$D$6:$Z$53")))*_xlfn.XLOOKUP($B31&amp;F$15,'Gas Useage'!$A$4:$A$15&amp;'Gas Useage'!$B$4:$B$15,_xlfn.XLOOKUP($C31&amp;F$14,'Gas Useage'!$C$2:$AB$2&amp;'Gas Useage'!$C$3:$AB$3,'Gas Useage'!$C$4:$AB$15))/_xlfn.XLOOKUP($B31&amp;F$15,'Gas Useage'!$A$4:$A$15&amp;'Gas Useage'!$B$4:$B$15,_xlfn.XLOOKUP(F$14,'Gas Useage'!$AA$3:$AB$3,'Gas Useage'!$AA$4:$AB$15))</f>
        <v>558.07100917592493</v>
      </c>
      <c r="G31" s="259" cm="1">
        <f t="array" aca="1" ref="G31" ca="1">_xlfn.XLOOKUP(G$13,INDIRECT("'"&amp;$B31&amp;" EI'!$B$6:$B$53"),_xlfn.XLOOKUP($C$10,INDIRECT("'"&amp;$B31&amp;" EI'!$D$4:$Z$4"),INDIRECT("'"&amp;$B31&amp;" EI'!$D$6:$Z$53")))*_xlfn.XLOOKUP($B31&amp;G$15,'Gas Useage'!$A$4:$A$15&amp;'Gas Useage'!$B$4:$B$15,_xlfn.XLOOKUP($C31&amp;G$14,'Gas Useage'!$C$2:$AB$2&amp;'Gas Useage'!$C$3:$AB$3,'Gas Useage'!$C$4:$AB$15))/_xlfn.XLOOKUP($B31&amp;G$15,'Gas Useage'!$A$4:$A$15&amp;'Gas Useage'!$B$4:$B$15,_xlfn.XLOOKUP(G$14,'Gas Useage'!$AA$3:$AB$3,'Gas Useage'!$AA$4:$AB$15))</f>
        <v>63.473572373263949</v>
      </c>
      <c r="H31" s="260" t="s">
        <v>278</v>
      </c>
      <c r="I31" s="260" t="s">
        <v>278</v>
      </c>
      <c r="J31" s="260" t="s">
        <v>278</v>
      </c>
      <c r="K31" s="261" t="s">
        <v>278</v>
      </c>
      <c r="N31" s="258"/>
    </row>
    <row r="32" spans="2:14" ht="13.5" x14ac:dyDescent="0.25">
      <c r="B32" s="32">
        <v>2021</v>
      </c>
      <c r="C32" s="494" t="s">
        <v>282</v>
      </c>
      <c r="D32" s="259" cm="1">
        <f t="array" aca="1" ref="D32" ca="1">_xlfn.XLOOKUP(D$13,INDIRECT("'"&amp;$B32&amp;" EI'!$B$6:$B$53"),_xlfn.XLOOKUP($C$10,INDIRECT("'"&amp;$B32&amp;" EI'!$D$4:$Z$4"),INDIRECT("'"&amp;$B32&amp;" EI'!$D$6:$Z$53")))*_xlfn.XLOOKUP($B32&amp;D$15,'Gas Useage'!$A$4:$A$15&amp;'Gas Useage'!$B$4:$B$15,_xlfn.XLOOKUP($C32&amp;D$14,'Gas Useage'!$C$2:$AB$2&amp;'Gas Useage'!$C$3:$AB$3,'Gas Useage'!$C$4:$AB$15))/_xlfn.XLOOKUP($B32&amp;D$15,'Gas Useage'!$A$4:$A$15&amp;'Gas Useage'!$B$4:$B$15,_xlfn.XLOOKUP(D$14,'Gas Useage'!$AA$3:$AB$3,'Gas Useage'!$AA$4:$AB$15))</f>
        <v>278.3847121937045</v>
      </c>
      <c r="E32" s="259" cm="1">
        <f t="array" aca="1" ref="E32" ca="1">_xlfn.XLOOKUP(E$13,INDIRECT("'"&amp;$B32&amp;" EI'!$B$6:$B$53"),_xlfn.XLOOKUP($C$10,INDIRECT("'"&amp;$B32&amp;" EI'!$D$4:$Z$4"),INDIRECT("'"&amp;$B32&amp;" EI'!$D$6:$Z$53")))*_xlfn.XLOOKUP($B32&amp;E$15,'Gas Useage'!$A$4:$A$15&amp;'Gas Useage'!$B$4:$B$15,_xlfn.XLOOKUP($C32&amp;E$14,'Gas Useage'!$C$2:$AB$2&amp;'Gas Useage'!$C$3:$AB$3,'Gas Useage'!$C$4:$AB$15))/_xlfn.XLOOKUP($B32&amp;E$15,'Gas Useage'!$A$4:$A$15&amp;'Gas Useage'!$B$4:$B$15,_xlfn.XLOOKUP(E$14,'Gas Useage'!$AA$3:$AB$3,'Gas Useage'!$AA$4:$AB$15))</f>
        <v>28.519202339667878</v>
      </c>
      <c r="F32" s="259" cm="1">
        <f t="array" aca="1" ref="F32" ca="1">_xlfn.XLOOKUP(F$13,INDIRECT("'"&amp;$B32&amp;" EI'!$B$6:$B$53"),_xlfn.XLOOKUP($C$10,INDIRECT("'"&amp;$B32&amp;" EI'!$D$4:$Z$4"),INDIRECT("'"&amp;$B32&amp;" EI'!$D$6:$Z$53")))*_xlfn.XLOOKUP($B32&amp;F$15,'Gas Useage'!$A$4:$A$15&amp;'Gas Useage'!$B$4:$B$15,_xlfn.XLOOKUP($C32&amp;F$14,'Gas Useage'!$C$2:$AB$2&amp;'Gas Useage'!$C$3:$AB$3,'Gas Useage'!$C$4:$AB$15))/_xlfn.XLOOKUP($B32&amp;F$15,'Gas Useage'!$A$4:$A$15&amp;'Gas Useage'!$B$4:$B$15,_xlfn.XLOOKUP(F$14,'Gas Useage'!$AA$3:$AB$3,'Gas Useage'!$AA$4:$AB$15))</f>
        <v>537.09000974832895</v>
      </c>
      <c r="G32" s="259" cm="1">
        <f t="array" aca="1" ref="G32" ca="1">_xlfn.XLOOKUP(G$13,INDIRECT("'"&amp;$B32&amp;" EI'!$B$6:$B$53"),_xlfn.XLOOKUP($C$10,INDIRECT("'"&amp;$B32&amp;" EI'!$D$4:$Z$4"),INDIRECT("'"&amp;$B32&amp;" EI'!$D$6:$Z$53")))*_xlfn.XLOOKUP($B32&amp;G$15,'Gas Useage'!$A$4:$A$15&amp;'Gas Useage'!$B$4:$B$15,_xlfn.XLOOKUP($C32&amp;G$14,'Gas Useage'!$C$2:$AB$2&amp;'Gas Useage'!$C$3:$AB$3,'Gas Useage'!$C$4:$AB$15))/_xlfn.XLOOKUP($B32&amp;G$15,'Gas Useage'!$A$4:$A$15&amp;'Gas Useage'!$B$4:$B$15,_xlfn.XLOOKUP(G$14,'Gas Useage'!$AA$3:$AB$3,'Gas Useage'!$AA$4:$AB$15))</f>
        <v>55.02234135604656</v>
      </c>
      <c r="H32" s="260" t="s">
        <v>278</v>
      </c>
      <c r="I32" s="260" t="s">
        <v>278</v>
      </c>
      <c r="J32" s="260" t="s">
        <v>278</v>
      </c>
      <c r="K32" s="261" t="s">
        <v>278</v>
      </c>
      <c r="N32" s="258"/>
    </row>
    <row r="33" spans="2:14" ht="13.5" x14ac:dyDescent="0.25">
      <c r="B33" s="32">
        <v>2021</v>
      </c>
      <c r="C33" s="494" t="s">
        <v>283</v>
      </c>
      <c r="D33" s="259" cm="1">
        <f t="array" aca="1" ref="D33" ca="1">_xlfn.XLOOKUP(D$13,INDIRECT("'"&amp;$B33&amp;" EI'!$B$6:$B$53"),_xlfn.XLOOKUP($C$10,INDIRECT("'"&amp;$B33&amp;" EI'!$D$4:$Z$4"),INDIRECT("'"&amp;$B33&amp;" EI'!$D$6:$Z$53")))*_xlfn.XLOOKUP($B33&amp;D$15,'Gas Useage'!$A$4:$A$15&amp;'Gas Useage'!$B$4:$B$15,_xlfn.XLOOKUP($C33&amp;D$14,'Gas Useage'!$C$2:$AB$2&amp;'Gas Useage'!$C$3:$AB$3,'Gas Useage'!$C$4:$AB$15))/_xlfn.XLOOKUP($B33&amp;D$15,'Gas Useage'!$A$4:$A$15&amp;'Gas Useage'!$B$4:$B$15,_xlfn.XLOOKUP(D$14,'Gas Useage'!$AA$3:$AB$3,'Gas Useage'!$AA$4:$AB$15))</f>
        <v>126.35990495191821</v>
      </c>
      <c r="E33" s="259" cm="1">
        <f t="array" aca="1" ref="E33" ca="1">_xlfn.XLOOKUP(E$13,INDIRECT("'"&amp;$B33&amp;" EI'!$B$6:$B$53"),_xlfn.XLOOKUP($C$10,INDIRECT("'"&amp;$B33&amp;" EI'!$D$4:$Z$4"),INDIRECT("'"&amp;$B33&amp;" EI'!$D$6:$Z$53")))*_xlfn.XLOOKUP($B33&amp;E$15,'Gas Useage'!$A$4:$A$15&amp;'Gas Useage'!$B$4:$B$15,_xlfn.XLOOKUP($C33&amp;E$14,'Gas Useage'!$C$2:$AB$2&amp;'Gas Useage'!$C$3:$AB$3,'Gas Useage'!$C$4:$AB$15))/_xlfn.XLOOKUP($B33&amp;E$15,'Gas Useage'!$A$4:$A$15&amp;'Gas Useage'!$B$4:$B$15,_xlfn.XLOOKUP(E$14,'Gas Useage'!$AA$3:$AB$3,'Gas Useage'!$AA$4:$AB$15))</f>
        <v>9.8315325489576342</v>
      </c>
      <c r="F33" s="259" cm="1">
        <f t="array" aca="1" ref="F33" ca="1">_xlfn.XLOOKUP(F$13,INDIRECT("'"&amp;$B33&amp;" EI'!$B$6:$B$53"),_xlfn.XLOOKUP($C$10,INDIRECT("'"&amp;$B33&amp;" EI'!$D$4:$Z$4"),INDIRECT("'"&amp;$B33&amp;" EI'!$D$6:$Z$53")))*_xlfn.XLOOKUP($B33&amp;F$15,'Gas Useage'!$A$4:$A$15&amp;'Gas Useage'!$B$4:$B$15,_xlfn.XLOOKUP($C33&amp;F$14,'Gas Useage'!$C$2:$AB$2&amp;'Gas Useage'!$C$3:$AB$3,'Gas Useage'!$C$4:$AB$15))/_xlfn.XLOOKUP($B33&amp;F$15,'Gas Useage'!$A$4:$A$15&amp;'Gas Useage'!$B$4:$B$15,_xlfn.XLOOKUP(F$14,'Gas Useage'!$AA$3:$AB$3,'Gas Useage'!$AA$4:$AB$15))</f>
        <v>255.99113196779734</v>
      </c>
      <c r="G33" s="259" cm="1">
        <f t="array" aca="1" ref="G33" ca="1">_xlfn.XLOOKUP(G$13,INDIRECT("'"&amp;$B33&amp;" EI'!$B$6:$B$53"),_xlfn.XLOOKUP($C$10,INDIRECT("'"&amp;$B33&amp;" EI'!$D$4:$Z$4"),INDIRECT("'"&amp;$B33&amp;" EI'!$D$6:$Z$53")))*_xlfn.XLOOKUP($B33&amp;G$15,'Gas Useage'!$A$4:$A$15&amp;'Gas Useage'!$B$4:$B$15,_xlfn.XLOOKUP($C33&amp;G$14,'Gas Useage'!$C$2:$AB$2&amp;'Gas Useage'!$C$3:$AB$3,'Gas Useage'!$C$4:$AB$15))/_xlfn.XLOOKUP($B33&amp;G$15,'Gas Useage'!$A$4:$A$15&amp;'Gas Useage'!$B$4:$B$15,_xlfn.XLOOKUP(G$14,'Gas Useage'!$AA$3:$AB$3,'Gas Useage'!$AA$4:$AB$15))</f>
        <v>19.917592903726714</v>
      </c>
      <c r="H33" s="260" t="s">
        <v>278</v>
      </c>
      <c r="I33" s="260" t="s">
        <v>278</v>
      </c>
      <c r="J33" s="260" t="s">
        <v>278</v>
      </c>
      <c r="K33" s="261" t="s">
        <v>278</v>
      </c>
      <c r="N33" s="258"/>
    </row>
    <row r="34" spans="2:14" ht="13.5" x14ac:dyDescent="0.25">
      <c r="B34" s="32">
        <v>2021</v>
      </c>
      <c r="C34" s="494" t="s">
        <v>284</v>
      </c>
      <c r="D34" s="259" cm="1">
        <f t="array" aca="1" ref="D34" ca="1">_xlfn.XLOOKUP(D$13,INDIRECT("'"&amp;$B34&amp;" EI'!$B$6:$B$53"),_xlfn.XLOOKUP($C$10,INDIRECT("'"&amp;$B34&amp;" EI'!$D$4:$Z$4"),INDIRECT("'"&amp;$B34&amp;" EI'!$D$6:$Z$53")))*_xlfn.XLOOKUP($B34&amp;D$15,'Gas Useage'!$A$4:$A$15&amp;'Gas Useage'!$B$4:$B$15,_xlfn.XLOOKUP($C34&amp;D$14,'Gas Useage'!$C$2:$AB$2&amp;'Gas Useage'!$C$3:$AB$3,'Gas Useage'!$C$4:$AB$15))/_xlfn.XLOOKUP($B34&amp;D$15,'Gas Useage'!$A$4:$A$15&amp;'Gas Useage'!$B$4:$B$15,_xlfn.XLOOKUP(D$14,'Gas Useage'!$AA$3:$AB$3,'Gas Useage'!$AA$4:$AB$15))</f>
        <v>282.53155753941871</v>
      </c>
      <c r="E34" s="259" cm="1">
        <f t="array" aca="1" ref="E34" ca="1">_xlfn.XLOOKUP(E$13,INDIRECT("'"&amp;$B34&amp;" EI'!$B$6:$B$53"),_xlfn.XLOOKUP($C$10,INDIRECT("'"&amp;$B34&amp;" EI'!$D$4:$Z$4"),INDIRECT("'"&amp;$B34&amp;" EI'!$D$6:$Z$53")))*_xlfn.XLOOKUP($B34&amp;E$15,'Gas Useage'!$A$4:$A$15&amp;'Gas Useage'!$B$4:$B$15,_xlfn.XLOOKUP($C34&amp;E$14,'Gas Useage'!$C$2:$AB$2&amp;'Gas Useage'!$C$3:$AB$3,'Gas Useage'!$C$4:$AB$15))/_xlfn.XLOOKUP($B34&amp;E$15,'Gas Useage'!$A$4:$A$15&amp;'Gas Useage'!$B$4:$B$15,_xlfn.XLOOKUP(E$14,'Gas Useage'!$AA$3:$AB$3,'Gas Useage'!$AA$4:$AB$15))</f>
        <v>16.535470504686188</v>
      </c>
      <c r="F34" s="259" cm="1">
        <f t="array" aca="1" ref="F34" ca="1">_xlfn.XLOOKUP(F$13,INDIRECT("'"&amp;$B34&amp;" EI'!$B$6:$B$53"),_xlfn.XLOOKUP($C$10,INDIRECT("'"&amp;$B34&amp;" EI'!$D$4:$Z$4"),INDIRECT("'"&amp;$B34&amp;" EI'!$D$6:$Z$53")))*_xlfn.XLOOKUP($B34&amp;F$15,'Gas Useage'!$A$4:$A$15&amp;'Gas Useage'!$B$4:$B$15,_xlfn.XLOOKUP($C34&amp;F$14,'Gas Useage'!$C$2:$AB$2&amp;'Gas Useage'!$C$3:$AB$3,'Gas Useage'!$C$4:$AB$15))/_xlfn.XLOOKUP($B34&amp;F$15,'Gas Useage'!$A$4:$A$15&amp;'Gas Useage'!$B$4:$B$15,_xlfn.XLOOKUP(F$14,'Gas Useage'!$AA$3:$AB$3,'Gas Useage'!$AA$4:$AB$15))</f>
        <v>315.64464407475964</v>
      </c>
      <c r="G34" s="259" cm="1">
        <f t="array" aca="1" ref="G34" ca="1">_xlfn.XLOOKUP(G$13,INDIRECT("'"&amp;$B34&amp;" EI'!$B$6:$B$53"),_xlfn.XLOOKUP($C$10,INDIRECT("'"&amp;$B34&amp;" EI'!$D$4:$Z$4"),INDIRECT("'"&amp;$B34&amp;" EI'!$D$6:$Z$53")))*_xlfn.XLOOKUP($B34&amp;G$15,'Gas Useage'!$A$4:$A$15&amp;'Gas Useage'!$B$4:$B$15,_xlfn.XLOOKUP($C34&amp;G$14,'Gas Useage'!$C$2:$AB$2&amp;'Gas Useage'!$C$3:$AB$3,'Gas Useage'!$C$4:$AB$15))/_xlfn.XLOOKUP($B34&amp;G$15,'Gas Useage'!$A$4:$A$15&amp;'Gas Useage'!$B$4:$B$15,_xlfn.XLOOKUP(G$14,'Gas Useage'!$AA$3:$AB$3,'Gas Useage'!$AA$4:$AB$15))</f>
        <v>18.473450355478107</v>
      </c>
      <c r="H34" s="260" t="s">
        <v>278</v>
      </c>
      <c r="I34" s="260" t="s">
        <v>278</v>
      </c>
      <c r="J34" s="260" t="s">
        <v>278</v>
      </c>
      <c r="K34" s="261" t="s">
        <v>278</v>
      </c>
      <c r="N34" s="258"/>
    </row>
    <row r="35" spans="2:14" ht="13.5" x14ac:dyDescent="0.25">
      <c r="B35" s="32">
        <v>2021</v>
      </c>
      <c r="C35" s="494" t="s">
        <v>285</v>
      </c>
      <c r="D35" s="259" cm="1">
        <f t="array" aca="1" ref="D35" ca="1">_xlfn.XLOOKUP(D$13,INDIRECT("'"&amp;$B35&amp;" EI'!$B$6:$B$53"),_xlfn.XLOOKUP($C$10,INDIRECT("'"&amp;$B35&amp;" EI'!$D$4:$Z$4"),INDIRECT("'"&amp;$B35&amp;" EI'!$D$6:$Z$53")))*_xlfn.XLOOKUP($B35&amp;D$15,'Gas Useage'!$A$4:$A$15&amp;'Gas Useage'!$B$4:$B$15,_xlfn.XLOOKUP($C35&amp;D$14,'Gas Useage'!$C$2:$AB$2&amp;'Gas Useage'!$C$3:$AB$3,'Gas Useage'!$C$4:$AB$15))/_xlfn.XLOOKUP($B35&amp;D$15,'Gas Useage'!$A$4:$A$15&amp;'Gas Useage'!$B$4:$B$15,_xlfn.XLOOKUP(D$14,'Gas Useage'!$AA$3:$AB$3,'Gas Useage'!$AA$4:$AB$15))</f>
        <v>340.62186368119359</v>
      </c>
      <c r="E35" s="259" cm="1">
        <f t="array" aca="1" ref="E35" ca="1">_xlfn.XLOOKUP(E$13,INDIRECT("'"&amp;$B35&amp;" EI'!$B$6:$B$53"),_xlfn.XLOOKUP($C$10,INDIRECT("'"&amp;$B35&amp;" EI'!$D$4:$Z$4"),INDIRECT("'"&amp;$B35&amp;" EI'!$D$6:$Z$53")))*_xlfn.XLOOKUP($B35&amp;E$15,'Gas Useage'!$A$4:$A$15&amp;'Gas Useage'!$B$4:$B$15,_xlfn.XLOOKUP($C35&amp;E$14,'Gas Useage'!$C$2:$AB$2&amp;'Gas Useage'!$C$3:$AB$3,'Gas Useage'!$C$4:$AB$15))/_xlfn.XLOOKUP($B35&amp;E$15,'Gas Useage'!$A$4:$A$15&amp;'Gas Useage'!$B$4:$B$15,_xlfn.XLOOKUP(E$14,'Gas Useage'!$AA$3:$AB$3,'Gas Useage'!$AA$4:$AB$15))</f>
        <v>55.277931091472141</v>
      </c>
      <c r="F35" s="259" cm="1">
        <f t="array" aca="1" ref="F35" ca="1">_xlfn.XLOOKUP(F$13,INDIRECT("'"&amp;$B35&amp;" EI'!$B$6:$B$53"),_xlfn.XLOOKUP($C$10,INDIRECT("'"&amp;$B35&amp;" EI'!$D$4:$Z$4"),INDIRECT("'"&amp;$B35&amp;" EI'!$D$6:$Z$53")))*_xlfn.XLOOKUP($B35&amp;F$15,'Gas Useage'!$A$4:$A$15&amp;'Gas Useage'!$B$4:$B$15,_xlfn.XLOOKUP($C35&amp;F$14,'Gas Useage'!$C$2:$AB$2&amp;'Gas Useage'!$C$3:$AB$3,'Gas Useage'!$C$4:$AB$15))/_xlfn.XLOOKUP($B35&amp;F$15,'Gas Useage'!$A$4:$A$15&amp;'Gas Useage'!$B$4:$B$15,_xlfn.XLOOKUP(F$14,'Gas Useage'!$AA$3:$AB$3,'Gas Useage'!$AA$4:$AB$15))</f>
        <v>290.50500554888157</v>
      </c>
      <c r="G35" s="259" cm="1">
        <f t="array" aca="1" ref="G35" ca="1">_xlfn.XLOOKUP(G$13,INDIRECT("'"&amp;$B35&amp;" EI'!$B$6:$B$53"),_xlfn.XLOOKUP($C$10,INDIRECT("'"&amp;$B35&amp;" EI'!$D$4:$Z$4"),INDIRECT("'"&amp;$B35&amp;" EI'!$D$6:$Z$53")))*_xlfn.XLOOKUP($B35&amp;G$15,'Gas Useage'!$A$4:$A$15&amp;'Gas Useage'!$B$4:$B$15,_xlfn.XLOOKUP($C35&amp;G$14,'Gas Useage'!$C$2:$AB$2&amp;'Gas Useage'!$C$3:$AB$3,'Gas Useage'!$C$4:$AB$15))/_xlfn.XLOOKUP($B35&amp;G$15,'Gas Useage'!$A$4:$A$15&amp;'Gas Useage'!$B$4:$B$15,_xlfn.XLOOKUP(G$14,'Gas Useage'!$AA$3:$AB$3,'Gas Useage'!$AA$4:$AB$15))</f>
        <v>47.144700298771298</v>
      </c>
      <c r="H35" s="260" t="s">
        <v>278</v>
      </c>
      <c r="I35" s="260" t="s">
        <v>278</v>
      </c>
      <c r="J35" s="260" t="s">
        <v>278</v>
      </c>
      <c r="K35" s="261" t="s">
        <v>278</v>
      </c>
      <c r="N35" s="258"/>
    </row>
    <row r="36" spans="2:14" ht="13.5" x14ac:dyDescent="0.25">
      <c r="B36" s="32">
        <v>2021</v>
      </c>
      <c r="C36" s="494" t="s">
        <v>286</v>
      </c>
      <c r="D36" s="259" cm="1">
        <f t="array" aca="1" ref="D36" ca="1">_xlfn.XLOOKUP(D$13,INDIRECT("'"&amp;$B36&amp;" EI'!$B$6:$B$53"),_xlfn.XLOOKUP($C$10,INDIRECT("'"&amp;$B36&amp;" EI'!$D$4:$Z$4"),INDIRECT("'"&amp;$B36&amp;" EI'!$D$6:$Z$53")))*_xlfn.XLOOKUP($B36&amp;D$15,'Gas Useage'!$A$4:$A$15&amp;'Gas Useage'!$B$4:$B$15,_xlfn.XLOOKUP($C36&amp;D$14,'Gas Useage'!$C$2:$AB$2&amp;'Gas Useage'!$C$3:$AB$3,'Gas Useage'!$C$4:$AB$15))/_xlfn.XLOOKUP($B36&amp;D$15,'Gas Useage'!$A$4:$A$15&amp;'Gas Useage'!$B$4:$B$15,_xlfn.XLOOKUP(D$14,'Gas Useage'!$AA$3:$AB$3,'Gas Useage'!$AA$4:$AB$15))</f>
        <v>203.8053300162189</v>
      </c>
      <c r="E36" s="259" cm="1">
        <f t="array" aca="1" ref="E36" ca="1">_xlfn.XLOOKUP(E$13,INDIRECT("'"&amp;$B36&amp;" EI'!$B$6:$B$53"),_xlfn.XLOOKUP($C$10,INDIRECT("'"&amp;$B36&amp;" EI'!$D$4:$Z$4"),INDIRECT("'"&amp;$B36&amp;" EI'!$D$6:$Z$53")))*_xlfn.XLOOKUP($B36&amp;E$15,'Gas Useage'!$A$4:$A$15&amp;'Gas Useage'!$B$4:$B$15,_xlfn.XLOOKUP($C36&amp;E$14,'Gas Useage'!$C$2:$AB$2&amp;'Gas Useage'!$C$3:$AB$3,'Gas Useage'!$C$4:$AB$15))/_xlfn.XLOOKUP($B36&amp;E$15,'Gas Useage'!$A$4:$A$15&amp;'Gas Useage'!$B$4:$B$15,_xlfn.XLOOKUP(E$14,'Gas Useage'!$AA$3:$AB$3,'Gas Useage'!$AA$4:$AB$15))</f>
        <v>29.617533214996698</v>
      </c>
      <c r="F36" s="259" cm="1">
        <f t="array" aca="1" ref="F36" ca="1">_xlfn.XLOOKUP(F$13,INDIRECT("'"&amp;$B36&amp;" EI'!$B$6:$B$53"),_xlfn.XLOOKUP($C$10,INDIRECT("'"&amp;$B36&amp;" EI'!$D$4:$Z$4"),INDIRECT("'"&amp;$B36&amp;" EI'!$D$6:$Z$53")))*_xlfn.XLOOKUP($B36&amp;F$15,'Gas Useage'!$A$4:$A$15&amp;'Gas Useage'!$B$4:$B$15,_xlfn.XLOOKUP($C36&amp;F$14,'Gas Useage'!$C$2:$AB$2&amp;'Gas Useage'!$C$3:$AB$3,'Gas Useage'!$C$4:$AB$15))/_xlfn.XLOOKUP($B36&amp;F$15,'Gas Useage'!$A$4:$A$15&amp;'Gas Useage'!$B$4:$B$15,_xlfn.XLOOKUP(F$14,'Gas Useage'!$AA$3:$AB$3,'Gas Useage'!$AA$4:$AB$15))</f>
        <v>162.32378369729543</v>
      </c>
      <c r="G36" s="259" cm="1">
        <f t="array" aca="1" ref="G36" ca="1">_xlfn.XLOOKUP(G$13,INDIRECT("'"&amp;$B36&amp;" EI'!$B$6:$B$53"),_xlfn.XLOOKUP($C$10,INDIRECT("'"&amp;$B36&amp;" EI'!$D$4:$Z$4"),INDIRECT("'"&amp;$B36&amp;" EI'!$D$6:$Z$53")))*_xlfn.XLOOKUP($B36&amp;G$15,'Gas Useage'!$A$4:$A$15&amp;'Gas Useage'!$B$4:$B$15,_xlfn.XLOOKUP($C36&amp;G$14,'Gas Useage'!$C$2:$AB$2&amp;'Gas Useage'!$C$3:$AB$3,'Gas Useage'!$C$4:$AB$15))/_xlfn.XLOOKUP($B36&amp;G$15,'Gas Useage'!$A$4:$A$15&amp;'Gas Useage'!$B$4:$B$15,_xlfn.XLOOKUP(G$14,'Gas Useage'!$AA$3:$AB$3,'Gas Useage'!$AA$4:$AB$15))</f>
        <v>23.589324454154337</v>
      </c>
      <c r="H36" s="260" t="s">
        <v>278</v>
      </c>
      <c r="I36" s="260" t="s">
        <v>278</v>
      </c>
      <c r="J36" s="260" t="s">
        <v>278</v>
      </c>
      <c r="K36" s="261" t="s">
        <v>278</v>
      </c>
      <c r="N36" s="258"/>
    </row>
    <row r="37" spans="2:14" ht="13.5" x14ac:dyDescent="0.25">
      <c r="B37" s="32">
        <v>2021</v>
      </c>
      <c r="C37" s="494" t="s">
        <v>287</v>
      </c>
      <c r="D37" s="259" cm="1">
        <f t="array" aca="1" ref="D37" ca="1">_xlfn.XLOOKUP(D$13,INDIRECT("'"&amp;$B37&amp;" EI'!$B$6:$B$53"),_xlfn.XLOOKUP($C$10,INDIRECT("'"&amp;$B37&amp;" EI'!$D$4:$Z$4"),INDIRECT("'"&amp;$B37&amp;" EI'!$D$6:$Z$53")))*_xlfn.XLOOKUP($B37&amp;D$15,'Gas Useage'!$A$4:$A$15&amp;'Gas Useage'!$B$4:$B$15,_xlfn.XLOOKUP($C37&amp;D$14,'Gas Useage'!$C$2:$AB$2&amp;'Gas Useage'!$C$3:$AB$3,'Gas Useage'!$C$4:$AB$15))/_xlfn.XLOOKUP($B37&amp;D$15,'Gas Useage'!$A$4:$A$15&amp;'Gas Useage'!$B$4:$B$15,_xlfn.XLOOKUP(D$14,'Gas Useage'!$AA$3:$AB$3,'Gas Useage'!$AA$4:$AB$15))</f>
        <v>217.76839974315538</v>
      </c>
      <c r="E37" s="259" cm="1">
        <f t="array" aca="1" ref="E37" ca="1">_xlfn.XLOOKUP(E$13,INDIRECT("'"&amp;$B37&amp;" EI'!$B$6:$B$53"),_xlfn.XLOOKUP($C$10,INDIRECT("'"&amp;$B37&amp;" EI'!$D$4:$Z$4"),INDIRECT("'"&amp;$B37&amp;" EI'!$D$6:$Z$53")))*_xlfn.XLOOKUP($B37&amp;E$15,'Gas Useage'!$A$4:$A$15&amp;'Gas Useage'!$B$4:$B$15,_xlfn.XLOOKUP($C37&amp;E$14,'Gas Useage'!$C$2:$AB$2&amp;'Gas Useage'!$C$3:$AB$3,'Gas Useage'!$C$4:$AB$15))/_xlfn.XLOOKUP($B37&amp;E$15,'Gas Useage'!$A$4:$A$15&amp;'Gas Useage'!$B$4:$B$15,_xlfn.XLOOKUP(E$14,'Gas Useage'!$AA$3:$AB$3,'Gas Useage'!$AA$4:$AB$15))</f>
        <v>28.237349403483503</v>
      </c>
      <c r="F37" s="259" cm="1">
        <f t="array" aca="1" ref="F37" ca="1">_xlfn.XLOOKUP(F$13,INDIRECT("'"&amp;$B37&amp;" EI'!$B$6:$B$53"),_xlfn.XLOOKUP($C$10,INDIRECT("'"&amp;$B37&amp;" EI'!$D$4:$Z$4"),INDIRECT("'"&amp;$B37&amp;" EI'!$D$6:$Z$53")))*_xlfn.XLOOKUP($B37&amp;F$15,'Gas Useage'!$A$4:$A$15&amp;'Gas Useage'!$B$4:$B$15,_xlfn.XLOOKUP($C37&amp;F$14,'Gas Useage'!$C$2:$AB$2&amp;'Gas Useage'!$C$3:$AB$3,'Gas Useage'!$C$4:$AB$15))/_xlfn.XLOOKUP($B37&amp;F$15,'Gas Useage'!$A$4:$A$15&amp;'Gas Useage'!$B$4:$B$15,_xlfn.XLOOKUP(F$14,'Gas Useage'!$AA$3:$AB$3,'Gas Useage'!$AA$4:$AB$15))</f>
        <v>177.34288465271328</v>
      </c>
      <c r="G37" s="259" cm="1">
        <f t="array" aca="1" ref="G37" ca="1">_xlfn.XLOOKUP(G$13,INDIRECT("'"&amp;$B37&amp;" EI'!$B$6:$B$53"),_xlfn.XLOOKUP($C$10,INDIRECT("'"&amp;$B37&amp;" EI'!$D$4:$Z$4"),INDIRECT("'"&amp;$B37&amp;" EI'!$D$6:$Z$53")))*_xlfn.XLOOKUP($B37&amp;G$15,'Gas Useage'!$A$4:$A$15&amp;'Gas Useage'!$B$4:$B$15,_xlfn.XLOOKUP($C37&amp;G$14,'Gas Useage'!$C$2:$AB$2&amp;'Gas Useage'!$C$3:$AB$3,'Gas Useage'!$C$4:$AB$15))/_xlfn.XLOOKUP($B37&amp;G$15,'Gas Useage'!$A$4:$A$15&amp;'Gas Useage'!$B$4:$B$15,_xlfn.XLOOKUP(G$14,'Gas Useage'!$AA$3:$AB$3,'Gas Useage'!$AA$4:$AB$15))</f>
        <v>22.995498906483249</v>
      </c>
      <c r="H37" s="260" t="s">
        <v>278</v>
      </c>
      <c r="I37" s="260" t="s">
        <v>278</v>
      </c>
      <c r="J37" s="260" t="s">
        <v>278</v>
      </c>
      <c r="K37" s="261" t="s">
        <v>278</v>
      </c>
      <c r="N37" s="258"/>
    </row>
    <row r="38" spans="2:14" ht="13.5" x14ac:dyDescent="0.25">
      <c r="B38" s="32">
        <v>2021</v>
      </c>
      <c r="C38" s="494" t="s">
        <v>288</v>
      </c>
      <c r="D38" s="259" cm="1">
        <f t="array" aca="1" ref="D38" ca="1">_xlfn.XLOOKUP(D$13,INDIRECT("'"&amp;$B38&amp;" EI'!$B$6:$B$53"),_xlfn.XLOOKUP($C$10,INDIRECT("'"&amp;$B38&amp;" EI'!$D$4:$Z$4"),INDIRECT("'"&amp;$B38&amp;" EI'!$D$6:$Z$53")))*_xlfn.XLOOKUP($B38&amp;D$15,'Gas Useage'!$A$4:$A$15&amp;'Gas Useage'!$B$4:$B$15,_xlfn.XLOOKUP($C38&amp;D$14,'Gas Useage'!$C$2:$AB$2&amp;'Gas Useage'!$C$3:$AB$3,'Gas Useage'!$C$4:$AB$15))/_xlfn.XLOOKUP($B38&amp;D$15,'Gas Useage'!$A$4:$A$15&amp;'Gas Useage'!$B$4:$B$15,_xlfn.XLOOKUP(D$14,'Gas Useage'!$AA$3:$AB$3,'Gas Useage'!$AA$4:$AB$15))</f>
        <v>686.1643361241712</v>
      </c>
      <c r="E38" s="259" cm="1">
        <f t="array" aca="1" ref="E38" ca="1">_xlfn.XLOOKUP(E$13,INDIRECT("'"&amp;$B38&amp;" EI'!$B$6:$B$53"),_xlfn.XLOOKUP($C$10,INDIRECT("'"&amp;$B38&amp;" EI'!$D$4:$Z$4"),INDIRECT("'"&amp;$B38&amp;" EI'!$D$6:$Z$53")))*_xlfn.XLOOKUP($B38&amp;E$15,'Gas Useage'!$A$4:$A$15&amp;'Gas Useage'!$B$4:$B$15,_xlfn.XLOOKUP($C38&amp;E$14,'Gas Useage'!$C$2:$AB$2&amp;'Gas Useage'!$C$3:$AB$3,'Gas Useage'!$C$4:$AB$15))/_xlfn.XLOOKUP($B38&amp;E$15,'Gas Useage'!$A$4:$A$15&amp;'Gas Useage'!$B$4:$B$15,_xlfn.XLOOKUP(E$14,'Gas Useage'!$AA$3:$AB$3,'Gas Useage'!$AA$4:$AB$15))</f>
        <v>133.69818443343181</v>
      </c>
      <c r="F38" s="259" cm="1">
        <f t="array" aca="1" ref="F38" ca="1">_xlfn.XLOOKUP(F$13,INDIRECT("'"&amp;$B38&amp;" EI'!$B$6:$B$53"),_xlfn.XLOOKUP($C$10,INDIRECT("'"&amp;$B38&amp;" EI'!$D$4:$Z$4"),INDIRECT("'"&amp;$B38&amp;" EI'!$D$6:$Z$53")))*_xlfn.XLOOKUP($B38&amp;F$15,'Gas Useage'!$A$4:$A$15&amp;'Gas Useage'!$B$4:$B$15,_xlfn.XLOOKUP($C38&amp;F$14,'Gas Useage'!$C$2:$AB$2&amp;'Gas Useage'!$C$3:$AB$3,'Gas Useage'!$C$4:$AB$15))/_xlfn.XLOOKUP($B38&amp;F$15,'Gas Useage'!$A$4:$A$15&amp;'Gas Useage'!$B$4:$B$15,_xlfn.XLOOKUP(F$14,'Gas Useage'!$AA$3:$AB$3,'Gas Useage'!$AA$4:$AB$15))</f>
        <v>625.27079539606621</v>
      </c>
      <c r="G38" s="259" cm="1">
        <f t="array" aca="1" ref="G38" ca="1">_xlfn.XLOOKUP(G$13,INDIRECT("'"&amp;$B38&amp;" EI'!$B$6:$B$53"),_xlfn.XLOOKUP($C$10,INDIRECT("'"&amp;$B38&amp;" EI'!$D$4:$Z$4"),INDIRECT("'"&amp;$B38&amp;" EI'!$D$6:$Z$53")))*_xlfn.XLOOKUP($B38&amp;G$15,'Gas Useage'!$A$4:$A$15&amp;'Gas Useage'!$B$4:$B$15,_xlfn.XLOOKUP($C38&amp;G$14,'Gas Useage'!$C$2:$AB$2&amp;'Gas Useage'!$C$3:$AB$3,'Gas Useage'!$C$4:$AB$15))/_xlfn.XLOOKUP($B38&amp;G$15,'Gas Useage'!$A$4:$A$15&amp;'Gas Useage'!$B$4:$B$15,_xlfn.XLOOKUP(G$14,'Gas Useage'!$AA$3:$AB$3,'Gas Useage'!$AA$4:$AB$15))</f>
        <v>121.83316112858083</v>
      </c>
      <c r="H38" s="260" t="s">
        <v>278</v>
      </c>
      <c r="I38" s="260" t="s">
        <v>278</v>
      </c>
      <c r="J38" s="260" t="s">
        <v>278</v>
      </c>
      <c r="K38" s="261" t="s">
        <v>278</v>
      </c>
      <c r="N38" s="258"/>
    </row>
    <row r="39" spans="2:14" ht="13.5" x14ac:dyDescent="0.25">
      <c r="B39" s="32">
        <v>2021</v>
      </c>
      <c r="C39" s="494" t="s">
        <v>289</v>
      </c>
      <c r="D39" s="259" cm="1">
        <f t="array" aca="1" ref="D39" ca="1">_xlfn.XLOOKUP(D$13,INDIRECT("'"&amp;$B39&amp;" EI'!$B$6:$B$53"),_xlfn.XLOOKUP($C$10,INDIRECT("'"&amp;$B39&amp;" EI'!$D$4:$Z$4"),INDIRECT("'"&amp;$B39&amp;" EI'!$D$6:$Z$53")))*_xlfn.XLOOKUP($B39&amp;D$15,'Gas Useage'!$A$4:$A$15&amp;'Gas Useage'!$B$4:$B$15,_xlfn.XLOOKUP($C39&amp;D$14,'Gas Useage'!$C$2:$AB$2&amp;'Gas Useage'!$C$3:$AB$3,'Gas Useage'!$C$4:$AB$15))/_xlfn.XLOOKUP($B39&amp;D$15,'Gas Useage'!$A$4:$A$15&amp;'Gas Useage'!$B$4:$B$15,_xlfn.XLOOKUP(D$14,'Gas Useage'!$AA$3:$AB$3,'Gas Useage'!$AA$4:$AB$15))</f>
        <v>411.61561921430717</v>
      </c>
      <c r="E39" s="259" cm="1">
        <f t="array" aca="1" ref="E39" ca="1">_xlfn.XLOOKUP(E$13,INDIRECT("'"&amp;$B39&amp;" EI'!$B$6:$B$53"),_xlfn.XLOOKUP($C$10,INDIRECT("'"&amp;$B39&amp;" EI'!$D$4:$Z$4"),INDIRECT("'"&amp;$B39&amp;" EI'!$D$6:$Z$53")))*_xlfn.XLOOKUP($B39&amp;E$15,'Gas Useage'!$A$4:$A$15&amp;'Gas Useage'!$B$4:$B$15,_xlfn.XLOOKUP($C39&amp;E$14,'Gas Useage'!$C$2:$AB$2&amp;'Gas Useage'!$C$3:$AB$3,'Gas Useage'!$C$4:$AB$15))/_xlfn.XLOOKUP($B39&amp;E$15,'Gas Useage'!$A$4:$A$15&amp;'Gas Useage'!$B$4:$B$15,_xlfn.XLOOKUP(E$14,'Gas Useage'!$AA$3:$AB$3,'Gas Useage'!$AA$4:$AB$15))</f>
        <v>76.731602180435601</v>
      </c>
      <c r="F39" s="259" cm="1">
        <f t="array" aca="1" ref="F39" ca="1">_xlfn.XLOOKUP(F$13,INDIRECT("'"&amp;$B39&amp;" EI'!$B$6:$B$53"),_xlfn.XLOOKUP($C$10,INDIRECT("'"&amp;$B39&amp;" EI'!$D$4:$Z$4"),INDIRECT("'"&amp;$B39&amp;" EI'!$D$6:$Z$53")))*_xlfn.XLOOKUP($B39&amp;F$15,'Gas Useage'!$A$4:$A$15&amp;'Gas Useage'!$B$4:$B$15,_xlfn.XLOOKUP($C39&amp;F$14,'Gas Useage'!$C$2:$AB$2&amp;'Gas Useage'!$C$3:$AB$3,'Gas Useage'!$C$4:$AB$15))/_xlfn.XLOOKUP($B39&amp;F$15,'Gas Useage'!$A$4:$A$15&amp;'Gas Useage'!$B$4:$B$15,_xlfn.XLOOKUP(F$14,'Gas Useage'!$AA$3:$AB$3,'Gas Useage'!$AA$4:$AB$15))</f>
        <v>399.80455410055384</v>
      </c>
      <c r="G39" s="259" cm="1">
        <f t="array" aca="1" ref="G39" ca="1">_xlfn.XLOOKUP(G$13,INDIRECT("'"&amp;$B39&amp;" EI'!$B$6:$B$53"),_xlfn.XLOOKUP($C$10,INDIRECT("'"&amp;$B39&amp;" EI'!$D$4:$Z$4"),INDIRECT("'"&amp;$B39&amp;" EI'!$D$6:$Z$53")))*_xlfn.XLOOKUP($B39&amp;G$15,'Gas Useage'!$A$4:$A$15&amp;'Gas Useage'!$B$4:$B$15,_xlfn.XLOOKUP($C39&amp;G$14,'Gas Useage'!$C$2:$AB$2&amp;'Gas Useage'!$C$3:$AB$3,'Gas Useage'!$C$4:$AB$15))/_xlfn.XLOOKUP($B39&amp;G$15,'Gas Useage'!$A$4:$A$15&amp;'Gas Useage'!$B$4:$B$15,_xlfn.XLOOKUP(G$14,'Gas Useage'!$AA$3:$AB$3,'Gas Useage'!$AA$4:$AB$15))</f>
        <v>74.529834542546482</v>
      </c>
      <c r="H39" s="260" t="s">
        <v>278</v>
      </c>
      <c r="I39" s="260" t="s">
        <v>278</v>
      </c>
      <c r="J39" s="260" t="s">
        <v>278</v>
      </c>
      <c r="K39" s="261" t="s">
        <v>278</v>
      </c>
      <c r="N39" s="258"/>
    </row>
    <row r="40" spans="2:14" ht="13.5" x14ac:dyDescent="0.25">
      <c r="B40" s="32">
        <v>2022</v>
      </c>
      <c r="C40" s="494" t="s">
        <v>277</v>
      </c>
      <c r="D40" s="259" cm="1">
        <f t="array" aca="1" ref="D40" ca="1">_xlfn.XLOOKUP(D$13,INDIRECT("'"&amp;$B40&amp;" EI'!$B$6:$B$53"),_xlfn.XLOOKUP($C$10,INDIRECT("'"&amp;$B40&amp;" EI'!$D$4:$Z$4"),INDIRECT("'"&amp;$B40&amp;" EI'!$D$6:$Z$53")))*_xlfn.XLOOKUP($B40&amp;D$15,'Gas Useage'!$A$4:$A$15&amp;'Gas Useage'!$B$4:$B$15,_xlfn.XLOOKUP($C40&amp;D$14,'Gas Useage'!$C$2:$AB$2&amp;'Gas Useage'!$C$3:$AB$3,'Gas Useage'!$C$4:$AB$15))/_xlfn.XLOOKUP($B40&amp;D$15,'Gas Useage'!$A$4:$A$15&amp;'Gas Useage'!$B$4:$B$15,_xlfn.XLOOKUP(D$14,'Gas Useage'!$AA$3:$AB$3,'Gas Useage'!$AA$4:$AB$15))</f>
        <v>439.29827264537391</v>
      </c>
      <c r="E40" s="259" cm="1">
        <f t="array" aca="1" ref="E40" ca="1">_xlfn.XLOOKUP(E$13,INDIRECT("'"&amp;$B40&amp;" EI'!$B$6:$B$53"),_xlfn.XLOOKUP($C$10,INDIRECT("'"&amp;$B40&amp;" EI'!$D$4:$Z$4"),INDIRECT("'"&amp;$B40&amp;" EI'!$D$6:$Z$53")))*_xlfn.XLOOKUP($B40&amp;E$15,'Gas Useage'!$A$4:$A$15&amp;'Gas Useage'!$B$4:$B$15,_xlfn.XLOOKUP($C40&amp;E$14,'Gas Useage'!$C$2:$AB$2&amp;'Gas Useage'!$C$3:$AB$3,'Gas Useage'!$C$4:$AB$15))/_xlfn.XLOOKUP($B40&amp;E$15,'Gas Useage'!$A$4:$A$15&amp;'Gas Useage'!$B$4:$B$15,_xlfn.XLOOKUP(E$14,'Gas Useage'!$AA$3:$AB$3,'Gas Useage'!$AA$4:$AB$15))</f>
        <v>108.69010485814957</v>
      </c>
      <c r="F40" s="259" cm="1">
        <f t="array" aca="1" ref="F40" ca="1">_xlfn.XLOOKUP(F$13,INDIRECT("'"&amp;$B40&amp;" EI'!$B$6:$B$53"),_xlfn.XLOOKUP($C$10,INDIRECT("'"&amp;$B40&amp;" EI'!$D$4:$Z$4"),INDIRECT("'"&amp;$B40&amp;" EI'!$D$6:$Z$53")))*_xlfn.XLOOKUP($B40&amp;F$15,'Gas Useage'!$A$4:$A$15&amp;'Gas Useage'!$B$4:$B$15,_xlfn.XLOOKUP($C40&amp;F$14,'Gas Useage'!$C$2:$AB$2&amp;'Gas Useage'!$C$3:$AB$3,'Gas Useage'!$C$4:$AB$15))/_xlfn.XLOOKUP($B40&amp;F$15,'Gas Useage'!$A$4:$A$15&amp;'Gas Useage'!$B$4:$B$15,_xlfn.XLOOKUP(F$14,'Gas Useage'!$AA$3:$AB$3,'Gas Useage'!$AA$4:$AB$15))</f>
        <v>390.61332873558609</v>
      </c>
      <c r="G40" s="259" cm="1">
        <f t="array" aca="1" ref="G40" ca="1">_xlfn.XLOOKUP(G$13,INDIRECT("'"&amp;$B40&amp;" EI'!$B$6:$B$53"),_xlfn.XLOOKUP($C$10,INDIRECT("'"&amp;$B40&amp;" EI'!$D$4:$Z$4"),INDIRECT("'"&amp;$B40&amp;" EI'!$D$6:$Z$53")))*_xlfn.XLOOKUP($B40&amp;G$15,'Gas Useage'!$A$4:$A$15&amp;'Gas Useage'!$B$4:$B$15,_xlfn.XLOOKUP($C40&amp;G$14,'Gas Useage'!$C$2:$AB$2&amp;'Gas Useage'!$C$3:$AB$3,'Gas Useage'!$C$4:$AB$15))/_xlfn.XLOOKUP($B40&amp;G$15,'Gas Useage'!$A$4:$A$15&amp;'Gas Useage'!$B$4:$B$15,_xlfn.XLOOKUP(G$14,'Gas Useage'!$AA$3:$AB$3,'Gas Useage'!$AA$4:$AB$15))</f>
        <v>96.644595034714357</v>
      </c>
      <c r="H40" s="260" t="s">
        <v>278</v>
      </c>
      <c r="I40" s="260" t="s">
        <v>278</v>
      </c>
      <c r="J40" s="260" t="s">
        <v>278</v>
      </c>
      <c r="K40" s="261" t="s">
        <v>278</v>
      </c>
      <c r="N40" s="258"/>
    </row>
    <row r="41" spans="2:14" ht="13.5" x14ac:dyDescent="0.25">
      <c r="B41" s="32">
        <v>2022</v>
      </c>
      <c r="C41" s="494" t="s">
        <v>279</v>
      </c>
      <c r="D41" s="259" cm="1">
        <f t="array" aca="1" ref="D41" ca="1">_xlfn.XLOOKUP(D$13,INDIRECT("'"&amp;$B41&amp;" EI'!$B$6:$B$53"),_xlfn.XLOOKUP($C$10,INDIRECT("'"&amp;$B41&amp;" EI'!$D$4:$Z$4"),INDIRECT("'"&amp;$B41&amp;" EI'!$D$6:$Z$53")))*_xlfn.XLOOKUP($B41&amp;D$15,'Gas Useage'!$A$4:$A$15&amp;'Gas Useage'!$B$4:$B$15,_xlfn.XLOOKUP($C41&amp;D$14,'Gas Useage'!$C$2:$AB$2&amp;'Gas Useage'!$C$3:$AB$3,'Gas Useage'!$C$4:$AB$15))/_xlfn.XLOOKUP($B41&amp;D$15,'Gas Useage'!$A$4:$A$15&amp;'Gas Useage'!$B$4:$B$15,_xlfn.XLOOKUP(D$14,'Gas Useage'!$AA$3:$AB$3,'Gas Useage'!$AA$4:$AB$15))</f>
        <v>418.7589941012908</v>
      </c>
      <c r="E41" s="259" cm="1">
        <f t="array" aca="1" ref="E41" ca="1">_xlfn.XLOOKUP(E$13,INDIRECT("'"&amp;$B41&amp;" EI'!$B$6:$B$53"),_xlfn.XLOOKUP($C$10,INDIRECT("'"&amp;$B41&amp;" EI'!$D$4:$Z$4"),INDIRECT("'"&amp;$B41&amp;" EI'!$D$6:$Z$53")))*_xlfn.XLOOKUP($B41&amp;E$15,'Gas Useage'!$A$4:$A$15&amp;'Gas Useage'!$B$4:$B$15,_xlfn.XLOOKUP($C41&amp;E$14,'Gas Useage'!$C$2:$AB$2&amp;'Gas Useage'!$C$3:$AB$3,'Gas Useage'!$C$4:$AB$15))/_xlfn.XLOOKUP($B41&amp;E$15,'Gas Useage'!$A$4:$A$15&amp;'Gas Useage'!$B$4:$B$15,_xlfn.XLOOKUP(E$14,'Gas Useage'!$AA$3:$AB$3,'Gas Useage'!$AA$4:$AB$15))</f>
        <v>92.699645185853313</v>
      </c>
      <c r="F41" s="259" cm="1">
        <f t="array" aca="1" ref="F41" ca="1">_xlfn.XLOOKUP(F$13,INDIRECT("'"&amp;$B41&amp;" EI'!$B$6:$B$53"),_xlfn.XLOOKUP($C$10,INDIRECT("'"&amp;$B41&amp;" EI'!$D$4:$Z$4"),INDIRECT("'"&amp;$B41&amp;" EI'!$D$6:$Z$53")))*_xlfn.XLOOKUP($B41&amp;F$15,'Gas Useage'!$A$4:$A$15&amp;'Gas Useage'!$B$4:$B$15,_xlfn.XLOOKUP($C41&amp;F$14,'Gas Useage'!$C$2:$AB$2&amp;'Gas Useage'!$C$3:$AB$3,'Gas Useage'!$C$4:$AB$15))/_xlfn.XLOOKUP($B41&amp;F$15,'Gas Useage'!$A$4:$A$15&amp;'Gas Useage'!$B$4:$B$15,_xlfn.XLOOKUP(F$14,'Gas Useage'!$AA$3:$AB$3,'Gas Useage'!$AA$4:$AB$15))</f>
        <v>280.82576486765748</v>
      </c>
      <c r="G41" s="259" cm="1">
        <f t="array" aca="1" ref="G41" ca="1">_xlfn.XLOOKUP(G$13,INDIRECT("'"&amp;$B41&amp;" EI'!$B$6:$B$53"),_xlfn.XLOOKUP($C$10,INDIRECT("'"&amp;$B41&amp;" EI'!$D$4:$Z$4"),INDIRECT("'"&amp;$B41&amp;" EI'!$D$6:$Z$53")))*_xlfn.XLOOKUP($B41&amp;G$15,'Gas Useage'!$A$4:$A$15&amp;'Gas Useage'!$B$4:$B$15,_xlfn.XLOOKUP($C41&amp;G$14,'Gas Useage'!$C$2:$AB$2&amp;'Gas Useage'!$C$3:$AB$3,'Gas Useage'!$C$4:$AB$15))/_xlfn.XLOOKUP($B41&amp;G$15,'Gas Useage'!$A$4:$A$15&amp;'Gas Useage'!$B$4:$B$15,_xlfn.XLOOKUP(G$14,'Gas Useage'!$AA$3:$AB$3,'Gas Useage'!$AA$4:$AB$15))</f>
        <v>62.165706597291383</v>
      </c>
      <c r="H41" s="260" t="s">
        <v>278</v>
      </c>
      <c r="I41" s="260" t="s">
        <v>278</v>
      </c>
      <c r="J41" s="260" t="s">
        <v>278</v>
      </c>
      <c r="K41" s="261" t="s">
        <v>278</v>
      </c>
      <c r="N41" s="258"/>
    </row>
    <row r="42" spans="2:14" ht="13.5" x14ac:dyDescent="0.25">
      <c r="B42" s="32">
        <v>2022</v>
      </c>
      <c r="C42" s="494" t="s">
        <v>280</v>
      </c>
      <c r="D42" s="259" cm="1">
        <f t="array" aca="1" ref="D42" ca="1">_xlfn.XLOOKUP(D$13,INDIRECT("'"&amp;$B42&amp;" EI'!$B$6:$B$53"),_xlfn.XLOOKUP($C$10,INDIRECT("'"&amp;$B42&amp;" EI'!$D$4:$Z$4"),INDIRECT("'"&amp;$B42&amp;" EI'!$D$6:$Z$53")))*_xlfn.XLOOKUP($B42&amp;D$15,'Gas Useage'!$A$4:$A$15&amp;'Gas Useage'!$B$4:$B$15,_xlfn.XLOOKUP($C42&amp;D$14,'Gas Useage'!$C$2:$AB$2&amp;'Gas Useage'!$C$3:$AB$3,'Gas Useage'!$C$4:$AB$15))/_xlfn.XLOOKUP($B42&amp;D$15,'Gas Useage'!$A$4:$A$15&amp;'Gas Useage'!$B$4:$B$15,_xlfn.XLOOKUP(D$14,'Gas Useage'!$AA$3:$AB$3,'Gas Useage'!$AA$4:$AB$15))</f>
        <v>485.2499211336974</v>
      </c>
      <c r="E42" s="259" cm="1">
        <f t="array" aca="1" ref="E42" ca="1">_xlfn.XLOOKUP(E$13,INDIRECT("'"&amp;$B42&amp;" EI'!$B$6:$B$53"),_xlfn.XLOOKUP($C$10,INDIRECT("'"&amp;$B42&amp;" EI'!$D$4:$Z$4"),INDIRECT("'"&amp;$B42&amp;" EI'!$D$6:$Z$53")))*_xlfn.XLOOKUP($B42&amp;E$15,'Gas Useage'!$A$4:$A$15&amp;'Gas Useage'!$B$4:$B$15,_xlfn.XLOOKUP($C42&amp;E$14,'Gas Useage'!$C$2:$AB$2&amp;'Gas Useage'!$C$3:$AB$3,'Gas Useage'!$C$4:$AB$15))/_xlfn.XLOOKUP($B42&amp;E$15,'Gas Useage'!$A$4:$A$15&amp;'Gas Useage'!$B$4:$B$15,_xlfn.XLOOKUP(E$14,'Gas Useage'!$AA$3:$AB$3,'Gas Useage'!$AA$4:$AB$15))</f>
        <v>96.155905534315153</v>
      </c>
      <c r="F42" s="259" cm="1">
        <f t="array" aca="1" ref="F42" ca="1">_xlfn.XLOOKUP(F$13,INDIRECT("'"&amp;$B42&amp;" EI'!$B$6:$B$53"),_xlfn.XLOOKUP($C$10,INDIRECT("'"&amp;$B42&amp;" EI'!$D$4:$Z$4"),INDIRECT("'"&amp;$B42&amp;" EI'!$D$6:$Z$53")))*_xlfn.XLOOKUP($B42&amp;F$15,'Gas Useage'!$A$4:$A$15&amp;'Gas Useage'!$B$4:$B$15,_xlfn.XLOOKUP($C42&amp;F$14,'Gas Useage'!$C$2:$AB$2&amp;'Gas Useage'!$C$3:$AB$3,'Gas Useage'!$C$4:$AB$15))/_xlfn.XLOOKUP($B42&amp;F$15,'Gas Useage'!$A$4:$A$15&amp;'Gas Useage'!$B$4:$B$15,_xlfn.XLOOKUP(F$14,'Gas Useage'!$AA$3:$AB$3,'Gas Useage'!$AA$4:$AB$15))</f>
        <v>229.89598579159298</v>
      </c>
      <c r="G42" s="259" cm="1">
        <f t="array" aca="1" ref="G42" ca="1">_xlfn.XLOOKUP(G$13,INDIRECT("'"&amp;$B42&amp;" EI'!$B$6:$B$53"),_xlfn.XLOOKUP($C$10,INDIRECT("'"&amp;$B42&amp;" EI'!$D$4:$Z$4"),INDIRECT("'"&amp;$B42&amp;" EI'!$D$6:$Z$53")))*_xlfn.XLOOKUP($B42&amp;G$15,'Gas Useage'!$A$4:$A$15&amp;'Gas Useage'!$B$4:$B$15,_xlfn.XLOOKUP($C42&amp;G$14,'Gas Useage'!$C$2:$AB$2&amp;'Gas Useage'!$C$3:$AB$3,'Gas Useage'!$C$4:$AB$15))/_xlfn.XLOOKUP($B42&amp;G$15,'Gas Useage'!$A$4:$A$15&amp;'Gas Useage'!$B$4:$B$15,_xlfn.XLOOKUP(G$14,'Gas Useage'!$AA$3:$AB$3,'Gas Useage'!$AA$4:$AB$15))</f>
        <v>45.555611097985121</v>
      </c>
      <c r="H42" s="260" t="s">
        <v>278</v>
      </c>
      <c r="I42" s="260" t="s">
        <v>278</v>
      </c>
      <c r="J42" s="260" t="s">
        <v>278</v>
      </c>
      <c r="K42" s="261" t="s">
        <v>278</v>
      </c>
      <c r="N42" s="258"/>
    </row>
    <row r="43" spans="2:14" ht="13.5" x14ac:dyDescent="0.25">
      <c r="B43" s="32">
        <v>2022</v>
      </c>
      <c r="C43" s="494" t="s">
        <v>281</v>
      </c>
      <c r="D43" s="259" cm="1">
        <f t="array" aca="1" ref="D43" ca="1">_xlfn.XLOOKUP(D$13,INDIRECT("'"&amp;$B43&amp;" EI'!$B$6:$B$53"),_xlfn.XLOOKUP($C$10,INDIRECT("'"&amp;$B43&amp;" EI'!$D$4:$Z$4"),INDIRECT("'"&amp;$B43&amp;" EI'!$D$6:$Z$53")))*_xlfn.XLOOKUP($B43&amp;D$15,'Gas Useage'!$A$4:$A$15&amp;'Gas Useage'!$B$4:$B$15,_xlfn.XLOOKUP($C43&amp;D$14,'Gas Useage'!$C$2:$AB$2&amp;'Gas Useage'!$C$3:$AB$3,'Gas Useage'!$C$4:$AB$15))/_xlfn.XLOOKUP($B43&amp;D$15,'Gas Useage'!$A$4:$A$15&amp;'Gas Useage'!$B$4:$B$15,_xlfn.XLOOKUP(D$14,'Gas Useage'!$AA$3:$AB$3,'Gas Useage'!$AA$4:$AB$15))</f>
        <v>497.46326721961248</v>
      </c>
      <c r="E43" s="259" cm="1">
        <f t="array" aca="1" ref="E43" ca="1">_xlfn.XLOOKUP(E$13,INDIRECT("'"&amp;$B43&amp;" EI'!$B$6:$B$53"),_xlfn.XLOOKUP($C$10,INDIRECT("'"&amp;$B43&amp;" EI'!$D$4:$Z$4"),INDIRECT("'"&amp;$B43&amp;" EI'!$D$6:$Z$53")))*_xlfn.XLOOKUP($B43&amp;E$15,'Gas Useage'!$A$4:$A$15&amp;'Gas Useage'!$B$4:$B$15,_xlfn.XLOOKUP($C43&amp;E$14,'Gas Useage'!$C$2:$AB$2&amp;'Gas Useage'!$C$3:$AB$3,'Gas Useage'!$C$4:$AB$15))/_xlfn.XLOOKUP($B43&amp;E$15,'Gas Useage'!$A$4:$A$15&amp;'Gas Useage'!$B$4:$B$15,_xlfn.XLOOKUP(E$14,'Gas Useage'!$AA$3:$AB$3,'Gas Useage'!$AA$4:$AB$15))</f>
        <v>108.82035220271082</v>
      </c>
      <c r="F43" s="259" cm="1">
        <f t="array" aca="1" ref="F43" ca="1">_xlfn.XLOOKUP(F$13,INDIRECT("'"&amp;$B43&amp;" EI'!$B$6:$B$53"),_xlfn.XLOOKUP($C$10,INDIRECT("'"&amp;$B43&amp;" EI'!$D$4:$Z$4"),INDIRECT("'"&amp;$B43&amp;" EI'!$D$6:$Z$53")))*_xlfn.XLOOKUP($B43&amp;F$15,'Gas Useage'!$A$4:$A$15&amp;'Gas Useage'!$B$4:$B$15,_xlfn.XLOOKUP($C43&amp;F$14,'Gas Useage'!$C$2:$AB$2&amp;'Gas Useage'!$C$3:$AB$3,'Gas Useage'!$C$4:$AB$15))/_xlfn.XLOOKUP($B43&amp;F$15,'Gas Useage'!$A$4:$A$15&amp;'Gas Useage'!$B$4:$B$15,_xlfn.XLOOKUP(F$14,'Gas Useage'!$AA$3:$AB$3,'Gas Useage'!$AA$4:$AB$15))</f>
        <v>401.21639652428331</v>
      </c>
      <c r="G43" s="259" cm="1">
        <f t="array" aca="1" ref="G43" ca="1">_xlfn.XLOOKUP(G$13,INDIRECT("'"&amp;$B43&amp;" EI'!$B$6:$B$53"),_xlfn.XLOOKUP($C$10,INDIRECT("'"&amp;$B43&amp;" EI'!$D$4:$Z$4"),INDIRECT("'"&amp;$B43&amp;" EI'!$D$6:$Z$53")))*_xlfn.XLOOKUP($B43&amp;G$15,'Gas Useage'!$A$4:$A$15&amp;'Gas Useage'!$B$4:$B$15,_xlfn.XLOOKUP($C43&amp;G$14,'Gas Useage'!$C$2:$AB$2&amp;'Gas Useage'!$C$3:$AB$3,'Gas Useage'!$C$4:$AB$15))/_xlfn.XLOOKUP($B43&amp;G$15,'Gas Useage'!$A$4:$A$15&amp;'Gas Useage'!$B$4:$B$15,_xlfn.XLOOKUP(G$14,'Gas Useage'!$AA$3:$AB$3,'Gas Useage'!$AA$4:$AB$15))</f>
        <v>87.76629845113851</v>
      </c>
      <c r="H43" s="260" t="s">
        <v>278</v>
      </c>
      <c r="I43" s="260" t="s">
        <v>278</v>
      </c>
      <c r="J43" s="260" t="s">
        <v>278</v>
      </c>
      <c r="K43" s="261" t="s">
        <v>278</v>
      </c>
      <c r="N43" s="258"/>
    </row>
    <row r="44" spans="2:14" ht="13.5" x14ac:dyDescent="0.25">
      <c r="B44" s="32">
        <v>2022</v>
      </c>
      <c r="C44" s="494" t="s">
        <v>282</v>
      </c>
      <c r="D44" s="259" cm="1">
        <f t="array" aca="1" ref="D44" ca="1">_xlfn.XLOOKUP(D$13,INDIRECT("'"&amp;$B44&amp;" EI'!$B$6:$B$53"),_xlfn.XLOOKUP($C$10,INDIRECT("'"&amp;$B44&amp;" EI'!$D$4:$Z$4"),INDIRECT("'"&amp;$B44&amp;" EI'!$D$6:$Z$53")))*_xlfn.XLOOKUP($B44&amp;D$15,'Gas Useage'!$A$4:$A$15&amp;'Gas Useage'!$B$4:$B$15,_xlfn.XLOOKUP($C44&amp;D$14,'Gas Useage'!$C$2:$AB$2&amp;'Gas Useage'!$C$3:$AB$3,'Gas Useage'!$C$4:$AB$15))/_xlfn.XLOOKUP($B44&amp;D$15,'Gas Useage'!$A$4:$A$15&amp;'Gas Useage'!$B$4:$B$15,_xlfn.XLOOKUP(D$14,'Gas Useage'!$AA$3:$AB$3,'Gas Useage'!$AA$4:$AB$15))</f>
        <v>342.07909944150867</v>
      </c>
      <c r="E44" s="259" cm="1">
        <f t="array" aca="1" ref="E44" ca="1">_xlfn.XLOOKUP(E$13,INDIRECT("'"&amp;$B44&amp;" EI'!$B$6:$B$53"),_xlfn.XLOOKUP($C$10,INDIRECT("'"&amp;$B44&amp;" EI'!$D$4:$Z$4"),INDIRECT("'"&amp;$B44&amp;" EI'!$D$6:$Z$53")))*_xlfn.XLOOKUP($B44&amp;E$15,'Gas Useage'!$A$4:$A$15&amp;'Gas Useage'!$B$4:$B$15,_xlfn.XLOOKUP($C44&amp;E$14,'Gas Useage'!$C$2:$AB$2&amp;'Gas Useage'!$C$3:$AB$3,'Gas Useage'!$C$4:$AB$15))/_xlfn.XLOOKUP($B44&amp;E$15,'Gas Useage'!$A$4:$A$15&amp;'Gas Useage'!$B$4:$B$15,_xlfn.XLOOKUP(E$14,'Gas Useage'!$AA$3:$AB$3,'Gas Useage'!$AA$4:$AB$15))</f>
        <v>77.978552333421433</v>
      </c>
      <c r="F44" s="259" cm="1">
        <f t="array" aca="1" ref="F44" ca="1">_xlfn.XLOOKUP(F$13,INDIRECT("'"&amp;$B44&amp;" EI'!$B$6:$B$53"),_xlfn.XLOOKUP($C$10,INDIRECT("'"&amp;$B44&amp;" EI'!$D$4:$Z$4"),INDIRECT("'"&amp;$B44&amp;" EI'!$D$6:$Z$53")))*_xlfn.XLOOKUP($B44&amp;F$15,'Gas Useage'!$A$4:$A$15&amp;'Gas Useage'!$B$4:$B$15,_xlfn.XLOOKUP($C44&amp;F$14,'Gas Useage'!$C$2:$AB$2&amp;'Gas Useage'!$C$3:$AB$3,'Gas Useage'!$C$4:$AB$15))/_xlfn.XLOOKUP($B44&amp;F$15,'Gas Useage'!$A$4:$A$15&amp;'Gas Useage'!$B$4:$B$15,_xlfn.XLOOKUP(F$14,'Gas Useage'!$AA$3:$AB$3,'Gas Useage'!$AA$4:$AB$15))</f>
        <v>198.28900696666682</v>
      </c>
      <c r="G44" s="259" cm="1">
        <f t="array" aca="1" ref="G44" ca="1">_xlfn.XLOOKUP(G$13,INDIRECT("'"&amp;$B44&amp;" EI'!$B$6:$B$53"),_xlfn.XLOOKUP($C$10,INDIRECT("'"&amp;$B44&amp;" EI'!$D$4:$Z$4"),INDIRECT("'"&amp;$B44&amp;" EI'!$D$6:$Z$53")))*_xlfn.XLOOKUP($B44&amp;G$15,'Gas Useage'!$A$4:$A$15&amp;'Gas Useage'!$B$4:$B$15,_xlfn.XLOOKUP($C44&amp;G$14,'Gas Useage'!$C$2:$AB$2&amp;'Gas Useage'!$C$3:$AB$3,'Gas Useage'!$C$4:$AB$15))/_xlfn.XLOOKUP($B44&amp;G$15,'Gas Useage'!$A$4:$A$15&amp;'Gas Useage'!$B$4:$B$15,_xlfn.XLOOKUP(G$14,'Gas Useage'!$AA$3:$AB$3,'Gas Useage'!$AA$4:$AB$15))</f>
        <v>45.200919121152722</v>
      </c>
      <c r="H44" s="260" t="s">
        <v>278</v>
      </c>
      <c r="I44" s="260" t="s">
        <v>278</v>
      </c>
      <c r="J44" s="260" t="s">
        <v>278</v>
      </c>
      <c r="K44" s="261" t="s">
        <v>278</v>
      </c>
      <c r="N44" s="258"/>
    </row>
    <row r="45" spans="2:14" ht="13.5" x14ac:dyDescent="0.25">
      <c r="B45" s="32">
        <v>2022</v>
      </c>
      <c r="C45" s="494" t="s">
        <v>283</v>
      </c>
      <c r="D45" s="259" cm="1">
        <f t="array" aca="1" ref="D45" ca="1">_xlfn.XLOOKUP(D$13,INDIRECT("'"&amp;$B45&amp;" EI'!$B$6:$B$53"),_xlfn.XLOOKUP($C$10,INDIRECT("'"&amp;$B45&amp;" EI'!$D$4:$Z$4"),INDIRECT("'"&amp;$B45&amp;" EI'!$D$6:$Z$53")))*_xlfn.XLOOKUP($B45&amp;D$15,'Gas Useage'!$A$4:$A$15&amp;'Gas Useage'!$B$4:$B$15,_xlfn.XLOOKUP($C45&amp;D$14,'Gas Useage'!$C$2:$AB$2&amp;'Gas Useage'!$C$3:$AB$3,'Gas Useage'!$C$4:$AB$15))/_xlfn.XLOOKUP($B45&amp;D$15,'Gas Useage'!$A$4:$A$15&amp;'Gas Useage'!$B$4:$B$15,_xlfn.XLOOKUP(D$14,'Gas Useage'!$AA$3:$AB$3,'Gas Useage'!$AA$4:$AB$15))</f>
        <v>87.298666358271049</v>
      </c>
      <c r="E45" s="259" cm="1">
        <f t="array" aca="1" ref="E45" ca="1">_xlfn.XLOOKUP(E$13,INDIRECT("'"&amp;$B45&amp;" EI'!$B$6:$B$53"),_xlfn.XLOOKUP($C$10,INDIRECT("'"&amp;$B45&amp;" EI'!$D$4:$Z$4"),INDIRECT("'"&amp;$B45&amp;" EI'!$D$6:$Z$53")))*_xlfn.XLOOKUP($B45&amp;E$15,'Gas Useage'!$A$4:$A$15&amp;'Gas Useage'!$B$4:$B$15,_xlfn.XLOOKUP($C45&amp;E$14,'Gas Useage'!$C$2:$AB$2&amp;'Gas Useage'!$C$3:$AB$3,'Gas Useage'!$C$4:$AB$15))/_xlfn.XLOOKUP($B45&amp;E$15,'Gas Useage'!$A$4:$A$15&amp;'Gas Useage'!$B$4:$B$15,_xlfn.XLOOKUP(E$14,'Gas Useage'!$AA$3:$AB$3,'Gas Useage'!$AA$4:$AB$15))</f>
        <v>20.800690524621697</v>
      </c>
      <c r="F45" s="259" cm="1">
        <f t="array" aca="1" ref="F45" ca="1">_xlfn.XLOOKUP(F$13,INDIRECT("'"&amp;$B45&amp;" EI'!$B$6:$B$53"),_xlfn.XLOOKUP($C$10,INDIRECT("'"&amp;$B45&amp;" EI'!$D$4:$Z$4"),INDIRECT("'"&amp;$B45&amp;" EI'!$D$6:$Z$53")))*_xlfn.XLOOKUP($B45&amp;F$15,'Gas Useage'!$A$4:$A$15&amp;'Gas Useage'!$B$4:$B$15,_xlfn.XLOOKUP($C45&amp;F$14,'Gas Useage'!$C$2:$AB$2&amp;'Gas Useage'!$C$3:$AB$3,'Gas Useage'!$C$4:$AB$15))/_xlfn.XLOOKUP($B45&amp;F$15,'Gas Useage'!$A$4:$A$15&amp;'Gas Useage'!$B$4:$B$15,_xlfn.XLOOKUP(F$14,'Gas Useage'!$AA$3:$AB$3,'Gas Useage'!$AA$4:$AB$15))</f>
        <v>60.377600441249839</v>
      </c>
      <c r="G45" s="259" cm="1">
        <f t="array" aca="1" ref="G45" ca="1">_xlfn.XLOOKUP(G$13,INDIRECT("'"&amp;$B45&amp;" EI'!$B$6:$B$53"),_xlfn.XLOOKUP($C$10,INDIRECT("'"&amp;$B45&amp;" EI'!$D$4:$Z$4"),INDIRECT("'"&amp;$B45&amp;" EI'!$D$6:$Z$53")))*_xlfn.XLOOKUP($B45&amp;G$15,'Gas Useage'!$A$4:$A$15&amp;'Gas Useage'!$B$4:$B$15,_xlfn.XLOOKUP($C45&amp;G$14,'Gas Useage'!$C$2:$AB$2&amp;'Gas Useage'!$C$3:$AB$3,'Gas Useage'!$C$4:$AB$15))/_xlfn.XLOOKUP($B45&amp;G$15,'Gas Useage'!$A$4:$A$15&amp;'Gas Useage'!$B$4:$B$15,_xlfn.XLOOKUP(G$14,'Gas Useage'!$AA$3:$AB$3,'Gas Useage'!$AA$4:$AB$15))</f>
        <v>14.38619664868123</v>
      </c>
      <c r="H45" s="260" t="s">
        <v>278</v>
      </c>
      <c r="I45" s="260" t="s">
        <v>278</v>
      </c>
      <c r="J45" s="260" t="s">
        <v>278</v>
      </c>
      <c r="K45" s="261" t="s">
        <v>278</v>
      </c>
      <c r="N45" s="258"/>
    </row>
    <row r="46" spans="2:14" ht="13.5" x14ac:dyDescent="0.25">
      <c r="B46" s="32">
        <v>2022</v>
      </c>
      <c r="C46" s="494" t="s">
        <v>284</v>
      </c>
      <c r="D46" s="259" cm="1">
        <f t="array" aca="1" ref="D46" ca="1">_xlfn.XLOOKUP(D$13,INDIRECT("'"&amp;$B46&amp;" EI'!$B$6:$B$53"),_xlfn.XLOOKUP($C$10,INDIRECT("'"&amp;$B46&amp;" EI'!$D$4:$Z$4"),INDIRECT("'"&amp;$B46&amp;" EI'!$D$6:$Z$53")))*_xlfn.XLOOKUP($B46&amp;D$15,'Gas Useage'!$A$4:$A$15&amp;'Gas Useage'!$B$4:$B$15,_xlfn.XLOOKUP($C46&amp;D$14,'Gas Useage'!$C$2:$AB$2&amp;'Gas Useage'!$C$3:$AB$3,'Gas Useage'!$C$4:$AB$15))/_xlfn.XLOOKUP($B46&amp;D$15,'Gas Useage'!$A$4:$A$15&amp;'Gas Useage'!$B$4:$B$15,_xlfn.XLOOKUP(D$14,'Gas Useage'!$AA$3:$AB$3,'Gas Useage'!$AA$4:$AB$15))</f>
        <v>252.94867426556462</v>
      </c>
      <c r="E46" s="259" cm="1">
        <f t="array" aca="1" ref="E46" ca="1">_xlfn.XLOOKUP(E$13,INDIRECT("'"&amp;$B46&amp;" EI'!$B$6:$B$53"),_xlfn.XLOOKUP($C$10,INDIRECT("'"&amp;$B46&amp;" EI'!$D$4:$Z$4"),INDIRECT("'"&amp;$B46&amp;" EI'!$D$6:$Z$53")))*_xlfn.XLOOKUP($B46&amp;E$15,'Gas Useage'!$A$4:$A$15&amp;'Gas Useage'!$B$4:$B$15,_xlfn.XLOOKUP($C46&amp;E$14,'Gas Useage'!$C$2:$AB$2&amp;'Gas Useage'!$C$3:$AB$3,'Gas Useage'!$C$4:$AB$15))/_xlfn.XLOOKUP($B46&amp;E$15,'Gas Useage'!$A$4:$A$15&amp;'Gas Useage'!$B$4:$B$15,_xlfn.XLOOKUP(E$14,'Gas Useage'!$AA$3:$AB$3,'Gas Useage'!$AA$4:$AB$15))</f>
        <v>69.468818102049426</v>
      </c>
      <c r="F46" s="259" cm="1">
        <f t="array" aca="1" ref="F46" ca="1">_xlfn.XLOOKUP(F$13,INDIRECT("'"&amp;$B46&amp;" EI'!$B$6:$B$53"),_xlfn.XLOOKUP($C$10,INDIRECT("'"&amp;$B46&amp;" EI'!$D$4:$Z$4"),INDIRECT("'"&amp;$B46&amp;" EI'!$D$6:$Z$53")))*_xlfn.XLOOKUP($B46&amp;F$15,'Gas Useage'!$A$4:$A$15&amp;'Gas Useage'!$B$4:$B$15,_xlfn.XLOOKUP($C46&amp;F$14,'Gas Useage'!$C$2:$AB$2&amp;'Gas Useage'!$C$3:$AB$3,'Gas Useage'!$C$4:$AB$15))/_xlfn.XLOOKUP($B46&amp;F$15,'Gas Useage'!$A$4:$A$15&amp;'Gas Useage'!$B$4:$B$15,_xlfn.XLOOKUP(F$14,'Gas Useage'!$AA$3:$AB$3,'Gas Useage'!$AA$4:$AB$15))</f>
        <v>239.10252840246508</v>
      </c>
      <c r="G46" s="259" cm="1">
        <f t="array" aca="1" ref="G46" ca="1">_xlfn.XLOOKUP(G$13,INDIRECT("'"&amp;$B46&amp;" EI'!$B$6:$B$53"),_xlfn.XLOOKUP($C$10,INDIRECT("'"&amp;$B46&amp;" EI'!$D$4:$Z$4"),INDIRECT("'"&amp;$B46&amp;" EI'!$D$6:$Z$53")))*_xlfn.XLOOKUP($B46&amp;G$15,'Gas Useage'!$A$4:$A$15&amp;'Gas Useage'!$B$4:$B$15,_xlfn.XLOOKUP($C46&amp;G$14,'Gas Useage'!$C$2:$AB$2&amp;'Gas Useage'!$C$3:$AB$3,'Gas Useage'!$C$4:$AB$15))/_xlfn.XLOOKUP($B46&amp;G$15,'Gas Useage'!$A$4:$A$15&amp;'Gas Useage'!$B$4:$B$15,_xlfn.XLOOKUP(G$14,'Gas Useage'!$AA$3:$AB$3,'Gas Useage'!$AA$4:$AB$15))</f>
        <v>65.666167658551686</v>
      </c>
      <c r="H46" s="260" t="s">
        <v>278</v>
      </c>
      <c r="I46" s="260" t="s">
        <v>278</v>
      </c>
      <c r="J46" s="260" t="s">
        <v>278</v>
      </c>
      <c r="K46" s="261" t="s">
        <v>278</v>
      </c>
      <c r="N46" s="258"/>
    </row>
    <row r="47" spans="2:14" ht="13.5" x14ac:dyDescent="0.25">
      <c r="B47" s="32">
        <v>2022</v>
      </c>
      <c r="C47" s="494" t="s">
        <v>285</v>
      </c>
      <c r="D47" s="259" cm="1">
        <f t="array" aca="1" ref="D47" ca="1">_xlfn.XLOOKUP(D$13,INDIRECT("'"&amp;$B47&amp;" EI'!$B$6:$B$53"),_xlfn.XLOOKUP($C$10,INDIRECT("'"&amp;$B47&amp;" EI'!$D$4:$Z$4"),INDIRECT("'"&amp;$B47&amp;" EI'!$D$6:$Z$53")))*_xlfn.XLOOKUP($B47&amp;D$15,'Gas Useage'!$A$4:$A$15&amp;'Gas Useage'!$B$4:$B$15,_xlfn.XLOOKUP($C47&amp;D$14,'Gas Useage'!$C$2:$AB$2&amp;'Gas Useage'!$C$3:$AB$3,'Gas Useage'!$C$4:$AB$15))/_xlfn.XLOOKUP($B47&amp;D$15,'Gas Useage'!$A$4:$A$15&amp;'Gas Useage'!$B$4:$B$15,_xlfn.XLOOKUP(D$14,'Gas Useage'!$AA$3:$AB$3,'Gas Useage'!$AA$4:$AB$15))</f>
        <v>640.42425821595066</v>
      </c>
      <c r="E47" s="259" cm="1">
        <f t="array" aca="1" ref="E47" ca="1">_xlfn.XLOOKUP(E$13,INDIRECT("'"&amp;$B47&amp;" EI'!$B$6:$B$53"),_xlfn.XLOOKUP($C$10,INDIRECT("'"&amp;$B47&amp;" EI'!$D$4:$Z$4"),INDIRECT("'"&amp;$B47&amp;" EI'!$D$6:$Z$53")))*_xlfn.XLOOKUP($B47&amp;E$15,'Gas Useage'!$A$4:$A$15&amp;'Gas Useage'!$B$4:$B$15,_xlfn.XLOOKUP($C47&amp;E$14,'Gas Useage'!$C$2:$AB$2&amp;'Gas Useage'!$C$3:$AB$3,'Gas Useage'!$C$4:$AB$15))/_xlfn.XLOOKUP($B47&amp;E$15,'Gas Useage'!$A$4:$A$15&amp;'Gas Useage'!$B$4:$B$15,_xlfn.XLOOKUP(E$14,'Gas Useage'!$AA$3:$AB$3,'Gas Useage'!$AA$4:$AB$15))</f>
        <v>124.65759567009717</v>
      </c>
      <c r="F47" s="259" cm="1">
        <f t="array" aca="1" ref="F47" ca="1">_xlfn.XLOOKUP(F$13,INDIRECT("'"&amp;$B47&amp;" EI'!$B$6:$B$53"),_xlfn.XLOOKUP($C$10,INDIRECT("'"&amp;$B47&amp;" EI'!$D$4:$Z$4"),INDIRECT("'"&amp;$B47&amp;" EI'!$D$6:$Z$53")))*_xlfn.XLOOKUP($B47&amp;F$15,'Gas Useage'!$A$4:$A$15&amp;'Gas Useage'!$B$4:$B$15,_xlfn.XLOOKUP($C47&amp;F$14,'Gas Useage'!$C$2:$AB$2&amp;'Gas Useage'!$C$3:$AB$3,'Gas Useage'!$C$4:$AB$15))/_xlfn.XLOOKUP($B47&amp;F$15,'Gas Useage'!$A$4:$A$15&amp;'Gas Useage'!$B$4:$B$15,_xlfn.XLOOKUP(F$14,'Gas Useage'!$AA$3:$AB$3,'Gas Useage'!$AA$4:$AB$15))</f>
        <v>465.27471914870432</v>
      </c>
      <c r="G47" s="259" cm="1">
        <f t="array" aca="1" ref="G47" ca="1">_xlfn.XLOOKUP(G$13,INDIRECT("'"&amp;$B47&amp;" EI'!$B$6:$B$53"),_xlfn.XLOOKUP($C$10,INDIRECT("'"&amp;$B47&amp;" EI'!$D$4:$Z$4"),INDIRECT("'"&amp;$B47&amp;" EI'!$D$6:$Z$53")))*_xlfn.XLOOKUP($B47&amp;G$15,'Gas Useage'!$A$4:$A$15&amp;'Gas Useage'!$B$4:$B$15,_xlfn.XLOOKUP($C47&amp;G$14,'Gas Useage'!$C$2:$AB$2&amp;'Gas Useage'!$C$3:$AB$3,'Gas Useage'!$C$4:$AB$15))/_xlfn.XLOOKUP($B47&amp;G$15,'Gas Useage'!$A$4:$A$15&amp;'Gas Useage'!$B$4:$B$15,_xlfn.XLOOKUP(G$14,'Gas Useage'!$AA$3:$AB$3,'Gas Useage'!$AA$4:$AB$15))</f>
        <v>90.565007604068001</v>
      </c>
      <c r="H47" s="260" t="s">
        <v>278</v>
      </c>
      <c r="I47" s="260" t="s">
        <v>278</v>
      </c>
      <c r="J47" s="260" t="s">
        <v>278</v>
      </c>
      <c r="K47" s="261" t="s">
        <v>278</v>
      </c>
      <c r="N47" s="258"/>
    </row>
    <row r="48" spans="2:14" ht="14.25" thickBot="1" x14ac:dyDescent="0.3">
      <c r="B48" s="33">
        <v>2022</v>
      </c>
      <c r="C48" s="499" t="s">
        <v>286</v>
      </c>
      <c r="D48" s="262" cm="1">
        <f t="array" aca="1" ref="D48" ca="1">_xlfn.XLOOKUP(D$13,INDIRECT("'"&amp;$B48&amp;" EI'!$B$6:$B$53"),_xlfn.XLOOKUP($C$10,INDIRECT("'"&amp;$B48&amp;" EI'!$D$4:$Z$4"),INDIRECT("'"&amp;$B48&amp;" EI'!$D$6:$Z$53")))*_xlfn.XLOOKUP($B48&amp;D$15,'Gas Useage'!$A$4:$A$15&amp;'Gas Useage'!$B$4:$B$15,_xlfn.XLOOKUP($C48&amp;D$14,'Gas Useage'!$C$2:$AB$2&amp;'Gas Useage'!$C$3:$AB$3,'Gas Useage'!$C$4:$AB$15))/_xlfn.XLOOKUP($B48&amp;D$15,'Gas Useage'!$A$4:$A$15&amp;'Gas Useage'!$B$4:$B$15,_xlfn.XLOOKUP(D$14,'Gas Useage'!$AA$3:$AB$3,'Gas Useage'!$AA$4:$AB$15))</f>
        <v>218.43629804046867</v>
      </c>
      <c r="E48" s="262" cm="1">
        <f t="array" aca="1" ref="E48" ca="1">_xlfn.XLOOKUP(E$13,INDIRECT("'"&amp;$B48&amp;" EI'!$B$6:$B$53"),_xlfn.XLOOKUP($C$10,INDIRECT("'"&amp;$B48&amp;" EI'!$D$4:$Z$4"),INDIRECT("'"&amp;$B48&amp;" EI'!$D$6:$Z$53")))*_xlfn.XLOOKUP($B48&amp;E$15,'Gas Useage'!$A$4:$A$15&amp;'Gas Useage'!$B$4:$B$15,_xlfn.XLOOKUP($C48&amp;E$14,'Gas Useage'!$C$2:$AB$2&amp;'Gas Useage'!$C$3:$AB$3,'Gas Useage'!$C$4:$AB$15))/_xlfn.XLOOKUP($B48&amp;E$15,'Gas Useage'!$A$4:$A$15&amp;'Gas Useage'!$B$4:$B$15,_xlfn.XLOOKUP(E$14,'Gas Useage'!$AA$3:$AB$3,'Gas Useage'!$AA$4:$AB$15))</f>
        <v>53.050137836164517</v>
      </c>
      <c r="F48" s="262" cm="1">
        <f t="array" aca="1" ref="F48" ca="1">_xlfn.XLOOKUP(F$13,INDIRECT("'"&amp;$B48&amp;" EI'!$B$6:$B$53"),_xlfn.XLOOKUP($C$10,INDIRECT("'"&amp;$B48&amp;" EI'!$D$4:$Z$4"),INDIRECT("'"&amp;$B48&amp;" EI'!$D$6:$Z$53")))*_xlfn.XLOOKUP($B48&amp;F$15,'Gas Useage'!$A$4:$A$15&amp;'Gas Useage'!$B$4:$B$15,_xlfn.XLOOKUP($C48&amp;F$14,'Gas Useage'!$C$2:$AB$2&amp;'Gas Useage'!$C$3:$AB$3,'Gas Useage'!$C$4:$AB$15))/_xlfn.XLOOKUP($B48&amp;F$15,'Gas Useage'!$A$4:$A$15&amp;'Gas Useage'!$B$4:$B$15,_xlfn.XLOOKUP(F$14,'Gas Useage'!$AA$3:$AB$3,'Gas Useage'!$AA$4:$AB$15))</f>
        <v>123.79852185527088</v>
      </c>
      <c r="G48" s="262" cm="1">
        <f t="array" aca="1" ref="G48" ca="1">_xlfn.XLOOKUP(G$13,INDIRECT("'"&amp;$B48&amp;" EI'!$B$6:$B$53"),_xlfn.XLOOKUP($C$10,INDIRECT("'"&amp;$B48&amp;" EI'!$D$4:$Z$4"),INDIRECT("'"&amp;$B48&amp;" EI'!$D$6:$Z$53")))*_xlfn.XLOOKUP($B48&amp;G$15,'Gas Useage'!$A$4:$A$15&amp;'Gas Useage'!$B$4:$B$15,_xlfn.XLOOKUP($C48&amp;G$14,'Gas Useage'!$C$2:$AB$2&amp;'Gas Useage'!$C$3:$AB$3,'Gas Useage'!$C$4:$AB$15))/_xlfn.XLOOKUP($B48&amp;G$15,'Gas Useage'!$A$4:$A$15&amp;'Gas Useage'!$B$4:$B$15,_xlfn.XLOOKUP(G$14,'Gas Useage'!$AA$3:$AB$3,'Gas Useage'!$AA$4:$AB$15))</f>
        <v>30.066104888477867</v>
      </c>
      <c r="H48" s="263">
        <f t="shared" ref="H48:K51" ca="1" si="0">IFERROR(SUM(D25:D48)/2,"--")</f>
        <v>4590.8709434092107</v>
      </c>
      <c r="I48" s="263">
        <f t="shared" ca="1" si="0"/>
        <v>830.07277075523746</v>
      </c>
      <c r="J48" s="263">
        <f t="shared" ca="1" si="0"/>
        <v>4644.6859367773595</v>
      </c>
      <c r="K48" s="264">
        <f t="shared" ca="1" si="0"/>
        <v>814.17769160151386</v>
      </c>
      <c r="N48" s="258"/>
    </row>
    <row r="49" spans="2:14" ht="13.5" hidden="1" x14ac:dyDescent="0.25">
      <c r="B49" s="495">
        <v>2022</v>
      </c>
      <c r="C49" s="284" t="s">
        <v>287</v>
      </c>
      <c r="D49" s="496" cm="1">
        <f t="array" aca="1" ref="D49" ca="1">_xlfn.XLOOKUP(D$13,INDIRECT("'"&amp;$B49&amp;" EI'!$B$6:$B$53"),_xlfn.XLOOKUP($C$10,INDIRECT("'"&amp;$B49&amp;" EI'!$D$4:$Z$4"),INDIRECT("'"&amp;$B49&amp;" EI'!$D$6:$Z$53")))*_xlfn.XLOOKUP($B49&amp;D$15,'Gas Useage'!$A$4:$A$15&amp;'Gas Useage'!$B$4:$B$15,_xlfn.XLOOKUP($C49&amp;D$14,'Gas Useage'!$C$2:$AB$2&amp;'Gas Useage'!$C$3:$AB$3,'Gas Useage'!$C$4:$AB$15))/_xlfn.XLOOKUP($B49&amp;D$15,'Gas Useage'!$A$4:$A$15&amp;'Gas Useage'!$B$4:$B$15,_xlfn.XLOOKUP(D$14,'Gas Useage'!$AA$3:$AB$3,'Gas Useage'!$AA$4:$AB$15))</f>
        <v>154.02284035336831</v>
      </c>
      <c r="E49" s="496" cm="1">
        <f t="array" aca="1" ref="E49" ca="1">_xlfn.XLOOKUP(E$13,INDIRECT("'"&amp;$B49&amp;" EI'!$B$6:$B$53"),_xlfn.XLOOKUP($C$10,INDIRECT("'"&amp;$B49&amp;" EI'!$D$4:$Z$4"),INDIRECT("'"&amp;$B49&amp;" EI'!$D$6:$Z$53")))*_xlfn.XLOOKUP($B49&amp;E$15,'Gas Useage'!$A$4:$A$15&amp;'Gas Useage'!$B$4:$B$15,_xlfn.XLOOKUP($C49&amp;E$14,'Gas Useage'!$C$2:$AB$2&amp;'Gas Useage'!$C$3:$AB$3,'Gas Useage'!$C$4:$AB$15))/_xlfn.XLOOKUP($B49&amp;E$15,'Gas Useage'!$A$4:$A$15&amp;'Gas Useage'!$B$4:$B$15,_xlfn.XLOOKUP(E$14,'Gas Useage'!$AA$3:$AB$3,'Gas Useage'!$AA$4:$AB$15))</f>
        <v>56.337835099193725</v>
      </c>
      <c r="F49" s="496" cm="1">
        <f t="array" aca="1" ref="F49" ca="1">_xlfn.XLOOKUP(F$13,INDIRECT("'"&amp;$B49&amp;" EI'!$B$6:$B$53"),_xlfn.XLOOKUP($C$10,INDIRECT("'"&amp;$B49&amp;" EI'!$D$4:$Z$4"),INDIRECT("'"&amp;$B49&amp;" EI'!$D$6:$Z$53")))*_xlfn.XLOOKUP($B49&amp;F$15,'Gas Useage'!$A$4:$A$15&amp;'Gas Useage'!$B$4:$B$15,_xlfn.XLOOKUP($C49&amp;F$14,'Gas Useage'!$C$2:$AB$2&amp;'Gas Useage'!$C$3:$AB$3,'Gas Useage'!$C$4:$AB$15))/_xlfn.XLOOKUP($B49&amp;F$15,'Gas Useage'!$A$4:$A$15&amp;'Gas Useage'!$B$4:$B$15,_xlfn.XLOOKUP(F$14,'Gas Useage'!$AA$3:$AB$3,'Gas Useage'!$AA$4:$AB$15))</f>
        <v>116.31674293898797</v>
      </c>
      <c r="G49" s="496" cm="1">
        <f t="array" aca="1" ref="G49" ca="1">_xlfn.XLOOKUP(G$13,INDIRECT("'"&amp;$B49&amp;" EI'!$B$6:$B$53"),_xlfn.XLOOKUP($C$10,INDIRECT("'"&amp;$B49&amp;" EI'!$D$4:$Z$4"),INDIRECT("'"&amp;$B49&amp;" EI'!$D$6:$Z$53")))*_xlfn.XLOOKUP($B49&amp;G$15,'Gas Useage'!$A$4:$A$15&amp;'Gas Useage'!$B$4:$B$15,_xlfn.XLOOKUP($C49&amp;G$14,'Gas Useage'!$C$2:$AB$2&amp;'Gas Useage'!$C$3:$AB$3,'Gas Useage'!$C$4:$AB$15))/_xlfn.XLOOKUP($B49&amp;G$15,'Gas Useage'!$A$4:$A$15&amp;'Gas Useage'!$B$4:$B$15,_xlfn.XLOOKUP(G$14,'Gas Useage'!$AA$3:$AB$3,'Gas Useage'!$AA$4:$AB$15))</f>
        <v>42.545855328584075</v>
      </c>
      <c r="H49" s="497">
        <f t="shared" ca="1" si="0"/>
        <v>4572.1891565269734</v>
      </c>
      <c r="I49" s="497">
        <f t="shared" ca="1" si="0"/>
        <v>840.23227526372625</v>
      </c>
      <c r="J49" s="497">
        <f t="shared" ca="1" si="0"/>
        <v>4481.5386663707322</v>
      </c>
      <c r="K49" s="498">
        <f t="shared" ca="1" si="0"/>
        <v>793.80100969194564</v>
      </c>
      <c r="N49" s="258"/>
    </row>
    <row r="50" spans="2:14" ht="13.5" hidden="1" x14ac:dyDescent="0.25">
      <c r="B50" s="283">
        <v>2022</v>
      </c>
      <c r="C50" s="284" t="s">
        <v>288</v>
      </c>
      <c r="D50" s="290" cm="1">
        <f t="array" aca="1" ref="D50" ca="1">_xlfn.XLOOKUP(D$13,INDIRECT("'"&amp;$B50&amp;" EI'!$B$6:$B$53"),_xlfn.XLOOKUP($C$10,INDIRECT("'"&amp;$B50&amp;" EI'!$D$4:$Z$4"),INDIRECT("'"&amp;$B50&amp;" EI'!$D$6:$Z$53")))*_xlfn.XLOOKUP($B50&amp;D$15,'Gas Useage'!$A$4:$A$15&amp;'Gas Useage'!$B$4:$B$15,_xlfn.XLOOKUP($C50&amp;D$14,'Gas Useage'!$C$2:$AB$2&amp;'Gas Useage'!$C$3:$AB$3,'Gas Useage'!$C$4:$AB$15))/_xlfn.XLOOKUP($B50&amp;D$15,'Gas Useage'!$A$4:$A$15&amp;'Gas Useage'!$B$4:$B$15,_xlfn.XLOOKUP(D$14,'Gas Useage'!$AA$3:$AB$3,'Gas Useage'!$AA$4:$AB$15))</f>
        <v>0.23446557309651889</v>
      </c>
      <c r="E50" s="290" cm="1">
        <f t="array" aca="1" ref="E50" ca="1">_xlfn.XLOOKUP(E$13,INDIRECT("'"&amp;$B50&amp;" EI'!$B$6:$B$53"),_xlfn.XLOOKUP($C$10,INDIRECT("'"&amp;$B50&amp;" EI'!$D$4:$Z$4"),INDIRECT("'"&amp;$B50&amp;" EI'!$D$6:$Z$53")))*_xlfn.XLOOKUP($B50&amp;E$15,'Gas Useage'!$A$4:$A$15&amp;'Gas Useage'!$B$4:$B$15,_xlfn.XLOOKUP($C50&amp;E$14,'Gas Useage'!$C$2:$AB$2&amp;'Gas Useage'!$C$3:$AB$3,'Gas Useage'!$C$4:$AB$15))/_xlfn.XLOOKUP($B50&amp;E$15,'Gas Useage'!$A$4:$A$15&amp;'Gas Useage'!$B$4:$B$15,_xlfn.XLOOKUP(E$14,'Gas Useage'!$AA$3:$AB$3,'Gas Useage'!$AA$4:$AB$15))</f>
        <v>5.971512355690508E-2</v>
      </c>
      <c r="F50" s="290" cm="1">
        <f t="array" aca="1" ref="F50" ca="1">_xlfn.XLOOKUP(F$13,INDIRECT("'"&amp;$B50&amp;" EI'!$B$6:$B$53"),_xlfn.XLOOKUP($C$10,INDIRECT("'"&amp;$B50&amp;" EI'!$D$4:$Z$4"),INDIRECT("'"&amp;$B50&amp;" EI'!$D$6:$Z$53")))*_xlfn.XLOOKUP($B50&amp;F$15,'Gas Useage'!$A$4:$A$15&amp;'Gas Useage'!$B$4:$B$15,_xlfn.XLOOKUP($C50&amp;F$14,'Gas Useage'!$C$2:$AB$2&amp;'Gas Useage'!$C$3:$AB$3,'Gas Useage'!$C$4:$AB$15))/_xlfn.XLOOKUP($B50&amp;F$15,'Gas Useage'!$A$4:$A$15&amp;'Gas Useage'!$B$4:$B$15,_xlfn.XLOOKUP(F$14,'Gas Useage'!$AA$3:$AB$3,'Gas Useage'!$AA$4:$AB$15))</f>
        <v>0.19731633146727046</v>
      </c>
      <c r="G50" s="290" cm="1">
        <f t="array" aca="1" ref="G50" ca="1">_xlfn.XLOOKUP(G$13,INDIRECT("'"&amp;$B50&amp;" EI'!$B$6:$B$53"),_xlfn.XLOOKUP($C$10,INDIRECT("'"&amp;$B50&amp;" EI'!$D$4:$Z$4"),INDIRECT("'"&amp;$B50&amp;" EI'!$D$6:$Z$53")))*_xlfn.XLOOKUP($B50&amp;G$15,'Gas Useage'!$A$4:$A$15&amp;'Gas Useage'!$B$4:$B$15,_xlfn.XLOOKUP($C50&amp;G$14,'Gas Useage'!$C$2:$AB$2&amp;'Gas Useage'!$C$3:$AB$3,'Gas Useage'!$C$4:$AB$15))/_xlfn.XLOOKUP($B50&amp;G$15,'Gas Useage'!$A$4:$A$15&amp;'Gas Useage'!$B$4:$B$15,_xlfn.XLOOKUP(G$14,'Gas Useage'!$AA$3:$AB$3,'Gas Useage'!$AA$4:$AB$15))</f>
        <v>5.0253727904492215E-2</v>
      </c>
      <c r="H50" s="291">
        <f t="shared" ca="1" si="0"/>
        <v>4365.9724961416186</v>
      </c>
      <c r="I50" s="291">
        <f t="shared" ca="1" si="0"/>
        <v>787.8011947374805</v>
      </c>
      <c r="J50" s="291">
        <f t="shared" ca="1" si="0"/>
        <v>4169.3079218462999</v>
      </c>
      <c r="K50" s="292">
        <f t="shared" ca="1" si="0"/>
        <v>714.41555981682814</v>
      </c>
      <c r="N50" s="258"/>
    </row>
    <row r="51" spans="2:14" ht="14.25" hidden="1" thickBot="1" x14ac:dyDescent="0.3">
      <c r="B51" s="285">
        <v>2022</v>
      </c>
      <c r="C51" s="286" t="s">
        <v>289</v>
      </c>
      <c r="D51" s="287" cm="1">
        <f t="array" aca="1" ref="D51" ca="1">_xlfn.XLOOKUP(D$13,INDIRECT("'"&amp;$B51&amp;" EI'!$B$6:$B$53"),_xlfn.XLOOKUP($C$10,INDIRECT("'"&amp;$B51&amp;" EI'!$D$4:$Z$4"),INDIRECT("'"&amp;$B51&amp;" EI'!$D$6:$Z$53")))*_xlfn.XLOOKUP($B51&amp;D$15,'Gas Useage'!$A$4:$A$15&amp;'Gas Useage'!$B$4:$B$15,_xlfn.XLOOKUP($C51&amp;D$14,'Gas Useage'!$C$2:$AB$2&amp;'Gas Useage'!$C$3:$AB$3,'Gas Useage'!$C$4:$AB$15))/_xlfn.XLOOKUP($B51&amp;D$15,'Gas Useage'!$A$4:$A$15&amp;'Gas Useage'!$B$4:$B$15,_xlfn.XLOOKUP(D$14,'Gas Useage'!$AA$3:$AB$3,'Gas Useage'!$AA$4:$AB$15))</f>
        <v>7.8524170308449104E-2</v>
      </c>
      <c r="E51" s="287" cm="1">
        <f t="array" aca="1" ref="E51" ca="1">_xlfn.XLOOKUP(E$13,INDIRECT("'"&amp;$B51&amp;" EI'!$B$6:$B$53"),_xlfn.XLOOKUP($C$10,INDIRECT("'"&amp;$B51&amp;" EI'!$D$4:$Z$4"),INDIRECT("'"&amp;$B51&amp;" EI'!$D$6:$Z$53")))*_xlfn.XLOOKUP($B51&amp;E$15,'Gas Useage'!$A$4:$A$15&amp;'Gas Useage'!$B$4:$B$15,_xlfn.XLOOKUP($C51&amp;E$14,'Gas Useage'!$C$2:$AB$2&amp;'Gas Useage'!$C$3:$AB$3,'Gas Useage'!$C$4:$AB$15))/_xlfn.XLOOKUP($B51&amp;E$15,'Gas Useage'!$A$4:$A$15&amp;'Gas Useage'!$B$4:$B$15,_xlfn.XLOOKUP(E$14,'Gas Useage'!$AA$3:$AB$3,'Gas Useage'!$AA$4:$AB$15))</f>
        <v>2.1807054423550121E-2</v>
      </c>
      <c r="F51" s="287" cm="1">
        <f t="array" aca="1" ref="F51" ca="1">_xlfn.XLOOKUP(F$13,INDIRECT("'"&amp;$B51&amp;" EI'!$B$6:$B$53"),_xlfn.XLOOKUP($C$10,INDIRECT("'"&amp;$B51&amp;" EI'!$D$4:$Z$4"),INDIRECT("'"&amp;$B51&amp;" EI'!$D$6:$Z$53")))*_xlfn.XLOOKUP($B51&amp;F$15,'Gas Useage'!$A$4:$A$15&amp;'Gas Useage'!$B$4:$B$15,_xlfn.XLOOKUP($C51&amp;F$14,'Gas Useage'!$C$2:$AB$2&amp;'Gas Useage'!$C$3:$AB$3,'Gas Useage'!$C$4:$AB$15))/_xlfn.XLOOKUP($B51&amp;F$15,'Gas Useage'!$A$4:$A$15&amp;'Gas Useage'!$B$4:$B$15,_xlfn.XLOOKUP(F$14,'Gas Useage'!$AA$3:$AB$3,'Gas Useage'!$AA$4:$AB$15))</f>
        <v>5.6832719958177409E-2</v>
      </c>
      <c r="G51" s="287" cm="1">
        <f t="array" aca="1" ref="G51" ca="1">_xlfn.XLOOKUP(G$13,INDIRECT("'"&amp;$B51&amp;" EI'!$B$6:$B$53"),_xlfn.XLOOKUP($C$10,INDIRECT("'"&amp;$B51&amp;" EI'!$D$4:$Z$4"),INDIRECT("'"&amp;$B51&amp;" EI'!$D$6:$Z$53")))*_xlfn.XLOOKUP($B51&amp;G$15,'Gas Useage'!$A$4:$A$15&amp;'Gas Useage'!$B$4:$B$15,_xlfn.XLOOKUP($C51&amp;G$14,'Gas Useage'!$C$2:$AB$2&amp;'Gas Useage'!$C$3:$AB$3,'Gas Useage'!$C$4:$AB$15))/_xlfn.XLOOKUP($B51&amp;G$15,'Gas Useage'!$A$4:$A$15&amp;'Gas Useage'!$B$4:$B$15,_xlfn.XLOOKUP(G$14,'Gas Useage'!$AA$3:$AB$3,'Gas Useage'!$AA$4:$AB$15))</f>
        <v>1.578309216510123E-2</v>
      </c>
      <c r="H51" s="288">
        <f t="shared" ca="1" si="0"/>
        <v>4159.6778650548704</v>
      </c>
      <c r="I51" s="288">
        <f t="shared" ca="1" si="0"/>
        <v>735.35116017666792</v>
      </c>
      <c r="J51" s="288">
        <f t="shared" ca="1" si="0"/>
        <v>3857.0069355161127</v>
      </c>
      <c r="K51" s="289">
        <f t="shared" ca="1" si="0"/>
        <v>635.01287462384096</v>
      </c>
      <c r="N51" s="258"/>
    </row>
    <row r="53" spans="2:14" x14ac:dyDescent="0.2">
      <c r="B53" s="265"/>
      <c r="C53" s="265"/>
    </row>
    <row r="54" spans="2:14" x14ac:dyDescent="0.2">
      <c r="B54" s="266"/>
      <c r="C54" s="266"/>
      <c r="D54" s="267"/>
      <c r="E54" s="267"/>
      <c r="F54" s="267"/>
      <c r="G54" s="267"/>
    </row>
    <row r="55" spans="2:14" x14ac:dyDescent="0.2">
      <c r="B55" s="266"/>
      <c r="C55" s="266"/>
      <c r="D55" s="267"/>
      <c r="E55" s="267"/>
      <c r="F55" s="267"/>
      <c r="G55" s="267"/>
    </row>
    <row r="56" spans="2:14" x14ac:dyDescent="0.2">
      <c r="B56" s="266"/>
      <c r="C56" s="266"/>
      <c r="D56" s="267"/>
      <c r="E56" s="267"/>
      <c r="F56" s="267"/>
      <c r="G56" s="267"/>
    </row>
    <row r="57" spans="2:14" x14ac:dyDescent="0.2">
      <c r="B57" s="266"/>
      <c r="C57" s="266"/>
      <c r="D57" s="267"/>
      <c r="E57" s="267"/>
      <c r="F57" s="267"/>
      <c r="G57" s="267"/>
    </row>
    <row r="58" spans="2:14" x14ac:dyDescent="0.2">
      <c r="B58" s="266"/>
      <c r="C58" s="266"/>
      <c r="D58" s="267"/>
      <c r="E58" s="267"/>
      <c r="F58" s="267"/>
      <c r="G58" s="267"/>
      <c r="H58" s="267"/>
      <c r="I58" s="267"/>
      <c r="J58" s="267"/>
      <c r="K58" s="267"/>
    </row>
    <row r="61" spans="2:14" x14ac:dyDescent="0.2">
      <c r="B61" s="265"/>
      <c r="C61" s="265"/>
      <c r="D61" s="268"/>
    </row>
    <row r="62" spans="2:14" x14ac:dyDescent="0.2">
      <c r="B62" s="266"/>
      <c r="C62" s="266"/>
    </row>
    <row r="63" spans="2:14" x14ac:dyDescent="0.2">
      <c r="B63" s="266"/>
      <c r="C63" s="266"/>
    </row>
    <row r="64" spans="2:14" x14ac:dyDescent="0.2">
      <c r="B64" s="266"/>
      <c r="C64" s="266"/>
    </row>
    <row r="65" spans="2:3" x14ac:dyDescent="0.2">
      <c r="B65" s="266"/>
      <c r="C65" s="266"/>
    </row>
    <row r="66" spans="2:3" x14ac:dyDescent="0.2">
      <c r="B66" s="266"/>
      <c r="C66" s="266"/>
    </row>
    <row r="68" spans="2:3" x14ac:dyDescent="0.2">
      <c r="B68" s="266"/>
      <c r="C68" s="266"/>
    </row>
    <row r="70" spans="2:3" x14ac:dyDescent="0.2">
      <c r="B70" s="265"/>
      <c r="C70" s="265"/>
    </row>
  </sheetData>
  <mergeCells count="2">
    <mergeCell ref="D12:G12"/>
    <mergeCell ref="H12:K12"/>
  </mergeCells>
  <pageMargins left="0.7" right="0.7" top="0.75" bottom="0.75" header="0.3" footer="0.3"/>
  <pageSetup scale="66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11383-0920-4B07-A0C3-AAF007C9508B}">
  <sheetPr>
    <tabColor theme="1"/>
  </sheetPr>
  <dimension ref="B1:U70"/>
  <sheetViews>
    <sheetView view="pageBreakPreview" zoomScale="60" zoomScaleNormal="100" workbookViewId="0">
      <selection activeCell="J40" sqref="J40:J41"/>
    </sheetView>
  </sheetViews>
  <sheetFormatPr defaultColWidth="9.140625" defaultRowHeight="12.75" x14ac:dyDescent="0.2"/>
  <cols>
    <col min="1" max="1" width="4.28515625" style="252" customWidth="1"/>
    <col min="2" max="2" width="12" style="252" customWidth="1"/>
    <col min="3" max="3" width="18.85546875" style="252" customWidth="1"/>
    <col min="4" max="4" width="8.85546875" style="252" bestFit="1" customWidth="1"/>
    <col min="5" max="5" width="8.85546875" style="252" customWidth="1"/>
    <col min="6" max="7" width="8.85546875" style="252" bestFit="1" customWidth="1"/>
    <col min="8" max="13" width="9.140625" style="252"/>
    <col min="14" max="14" width="11.140625" style="252" bestFit="1" customWidth="1"/>
    <col min="15" max="15" width="17.28515625" style="252" customWidth="1"/>
    <col min="16" max="16" width="15.42578125" style="252" customWidth="1"/>
    <col min="17" max="16384" width="9.140625" style="252"/>
  </cols>
  <sheetData>
    <row r="1" spans="2:21" s="18" customFormat="1" x14ac:dyDescent="0.2">
      <c r="B1" s="28"/>
      <c r="C1" s="28"/>
      <c r="F1" s="19"/>
      <c r="G1" s="19"/>
    </row>
    <row r="2" spans="2:21" s="18" customFormat="1" x14ac:dyDescent="0.2">
      <c r="B2" s="28"/>
      <c r="C2" s="28"/>
      <c r="F2" s="19"/>
      <c r="G2" s="19"/>
    </row>
    <row r="3" spans="2:21" x14ac:dyDescent="0.2">
      <c r="B3" s="20"/>
      <c r="C3" s="20"/>
    </row>
    <row r="4" spans="2:21" x14ac:dyDescent="0.2">
      <c r="B4" s="24" t="s">
        <v>0</v>
      </c>
      <c r="C4" s="25" t="s">
        <v>261</v>
      </c>
    </row>
    <row r="5" spans="2:21" x14ac:dyDescent="0.2">
      <c r="B5" s="24" t="s">
        <v>79</v>
      </c>
      <c r="C5" s="25" t="s">
        <v>4</v>
      </c>
    </row>
    <row r="6" spans="2:21" x14ac:dyDescent="0.2">
      <c r="B6" s="24" t="s">
        <v>80</v>
      </c>
      <c r="C6" s="25" t="s">
        <v>262</v>
      </c>
    </row>
    <row r="7" spans="2:21" x14ac:dyDescent="0.2">
      <c r="B7" s="20"/>
      <c r="C7" s="20"/>
    </row>
    <row r="8" spans="2:21" x14ac:dyDescent="0.2">
      <c r="B8" s="26"/>
      <c r="C8" s="26"/>
    </row>
    <row r="9" spans="2:21" x14ac:dyDescent="0.2">
      <c r="B9" s="26"/>
      <c r="C9" s="26"/>
    </row>
    <row r="10" spans="2:21" x14ac:dyDescent="0.2">
      <c r="B10" s="27" t="s">
        <v>263</v>
      </c>
      <c r="C10" s="35" t="s">
        <v>295</v>
      </c>
    </row>
    <row r="11" spans="2:21" s="253" customFormat="1" ht="15" customHeight="1" thickBot="1" x14ac:dyDescent="0.25">
      <c r="O11" s="252"/>
      <c r="P11" s="252"/>
      <c r="Q11" s="252"/>
      <c r="R11" s="252"/>
      <c r="S11" s="252"/>
      <c r="T11" s="252"/>
      <c r="U11" s="252"/>
    </row>
    <row r="12" spans="2:21" ht="16.5" customHeight="1" thickBot="1" x14ac:dyDescent="0.25">
      <c r="B12" s="30"/>
      <c r="C12" s="30"/>
      <c r="D12" s="552" t="s">
        <v>265</v>
      </c>
      <c r="E12" s="553"/>
      <c r="F12" s="553"/>
      <c r="G12" s="554"/>
      <c r="H12" s="552" t="s">
        <v>266</v>
      </c>
      <c r="I12" s="553"/>
      <c r="J12" s="553"/>
      <c r="K12" s="554"/>
      <c r="L12" s="254"/>
    </row>
    <row r="13" spans="2:21" ht="27.75" thickBot="1" x14ac:dyDescent="0.25">
      <c r="B13" s="29" t="s">
        <v>267</v>
      </c>
      <c r="C13" s="29" t="s">
        <v>268</v>
      </c>
      <c r="D13" s="531" t="s">
        <v>269</v>
      </c>
      <c r="E13" s="532" t="s">
        <v>270</v>
      </c>
      <c r="F13" s="532" t="s">
        <v>271</v>
      </c>
      <c r="G13" s="533" t="s">
        <v>272</v>
      </c>
      <c r="H13" s="531" t="s">
        <v>269</v>
      </c>
      <c r="I13" s="532" t="s">
        <v>270</v>
      </c>
      <c r="J13" s="532" t="s">
        <v>271</v>
      </c>
      <c r="K13" s="533" t="s">
        <v>272</v>
      </c>
    </row>
    <row r="14" spans="2:21" ht="27.75" thickBot="1" x14ac:dyDescent="0.25">
      <c r="B14" s="199"/>
      <c r="C14" s="199"/>
      <c r="D14" s="531" t="s">
        <v>273</v>
      </c>
      <c r="E14" s="532" t="s">
        <v>274</v>
      </c>
      <c r="F14" s="532" t="s">
        <v>273</v>
      </c>
      <c r="G14" s="533" t="s">
        <v>274</v>
      </c>
      <c r="H14" s="531"/>
      <c r="I14" s="532"/>
      <c r="J14" s="532"/>
      <c r="K14" s="533"/>
    </row>
    <row r="15" spans="2:21" ht="14.25" thickBot="1" x14ac:dyDescent="0.25">
      <c r="B15" s="199"/>
      <c r="C15" s="199"/>
      <c r="D15" s="534" t="s">
        <v>275</v>
      </c>
      <c r="E15" s="535" t="s">
        <v>275</v>
      </c>
      <c r="F15" s="535" t="s">
        <v>276</v>
      </c>
      <c r="G15" s="536" t="s">
        <v>276</v>
      </c>
      <c r="H15" s="534"/>
      <c r="I15" s="535"/>
      <c r="J15" s="535"/>
      <c r="K15" s="536"/>
    </row>
    <row r="16" spans="2:21" ht="13.5" hidden="1" x14ac:dyDescent="0.25">
      <c r="B16" s="31">
        <v>2020</v>
      </c>
      <c r="C16" s="197" t="s">
        <v>277</v>
      </c>
      <c r="D16" s="255" cm="1">
        <f t="array" aca="1" ref="D16" ca="1">_xlfn.XLOOKUP(D$13,INDIRECT("'"&amp;$B16&amp;" EI'!$B$6:$B$53"),_xlfn.XLOOKUP($C$10,INDIRECT("'"&amp;$B16&amp;" EI'!$D$4:$Z$4"),INDIRECT("'"&amp;$B16&amp;" EI'!$D$6:$Z$53")))*_xlfn.XLOOKUP($B16&amp;D$15,'Gas Useage'!$A$4:$A$15&amp;'Gas Useage'!$B$4:$B$15,_xlfn.XLOOKUP($C16&amp;D$14,'Gas Useage'!$C$2:$AB$2&amp;'Gas Useage'!$C$3:$AB$3,'Gas Useage'!$C$4:$AB$15))/_xlfn.XLOOKUP($B16&amp;D$15,'Gas Useage'!$A$4:$A$15&amp;'Gas Useage'!$B$4:$B$15,_xlfn.XLOOKUP(D$14,'Gas Useage'!$AA$3:$AB$3,'Gas Useage'!$AA$4:$AB$15))</f>
        <v>3.6970713729713822E-3</v>
      </c>
      <c r="E16" s="255" cm="1">
        <f t="array" aca="1" ref="E16" ca="1">_xlfn.XLOOKUP(E$13,INDIRECT("'"&amp;$B16&amp;" EI'!$B$6:$B$53"),_xlfn.XLOOKUP($C$10,INDIRECT("'"&amp;$B16&amp;" EI'!$D$4:$Z$4"),INDIRECT("'"&amp;$B16&amp;" EI'!$D$6:$Z$53")))*_xlfn.XLOOKUP($B16&amp;E$15,'Gas Useage'!$A$4:$A$15&amp;'Gas Useage'!$B$4:$B$15,_xlfn.XLOOKUP($C16&amp;E$14,'Gas Useage'!$C$2:$AB$2&amp;'Gas Useage'!$C$3:$AB$3,'Gas Useage'!$C$4:$AB$15))/_xlfn.XLOOKUP($B16&amp;E$15,'Gas Useage'!$A$4:$A$15&amp;'Gas Useage'!$B$4:$B$15,_xlfn.XLOOKUP(E$14,'Gas Useage'!$AA$3:$AB$3,'Gas Useage'!$AA$4:$AB$15))</f>
        <v>1.1876031732928724E-3</v>
      </c>
      <c r="F16" s="255" cm="1">
        <f t="array" aca="1" ref="F16" ca="1">_xlfn.XLOOKUP(F$13,INDIRECT("'"&amp;$B16&amp;" EI'!$B$6:$B$53"),_xlfn.XLOOKUP($C$10,INDIRECT("'"&amp;$B16&amp;" EI'!$D$4:$Z$4"),INDIRECT("'"&amp;$B16&amp;" EI'!$D$6:$Z$53")))*_xlfn.XLOOKUP($B16&amp;F$15,'Gas Useage'!$A$4:$A$15&amp;'Gas Useage'!$B$4:$B$15,_xlfn.XLOOKUP($C16&amp;F$14,'Gas Useage'!$C$2:$AB$2&amp;'Gas Useage'!$C$3:$AB$3,'Gas Useage'!$C$4:$AB$15))/_xlfn.XLOOKUP($B16&amp;F$15,'Gas Useage'!$A$4:$A$15&amp;'Gas Useage'!$B$4:$B$15,_xlfn.XLOOKUP(F$14,'Gas Useage'!$AA$3:$AB$3,'Gas Useage'!$AA$4:$AB$15))</f>
        <v>4.840008362458739E-3</v>
      </c>
      <c r="G16" s="255" cm="1">
        <f t="array" aca="1" ref="G16" ca="1">_xlfn.XLOOKUP(G$13,INDIRECT("'"&amp;$B16&amp;" EI'!$B$6:$B$53"),_xlfn.XLOOKUP($C$10,INDIRECT("'"&amp;$B16&amp;" EI'!$D$4:$Z$4"),INDIRECT("'"&amp;$B16&amp;" EI'!$D$6:$Z$53")))*_xlfn.XLOOKUP($B16&amp;G$15,'Gas Useage'!$A$4:$A$15&amp;'Gas Useage'!$B$4:$B$15,_xlfn.XLOOKUP($C16&amp;G$14,'Gas Useage'!$C$2:$AB$2&amp;'Gas Useage'!$C$3:$AB$3,'Gas Useage'!$C$4:$AB$15))/_xlfn.XLOOKUP($B16&amp;G$15,'Gas Useage'!$A$4:$A$15&amp;'Gas Useage'!$B$4:$B$15,_xlfn.XLOOKUP(G$14,'Gas Useage'!$AA$3:$AB$3,'Gas Useage'!$AA$4:$AB$15))</f>
        <v>1.5547466386618047E-3</v>
      </c>
      <c r="H16" s="256" t="s">
        <v>278</v>
      </c>
      <c r="I16" s="256" t="s">
        <v>278</v>
      </c>
      <c r="J16" s="256" t="s">
        <v>278</v>
      </c>
      <c r="K16" s="257" t="s">
        <v>278</v>
      </c>
      <c r="N16" s="258"/>
    </row>
    <row r="17" spans="2:14" ht="13.5" hidden="1" x14ac:dyDescent="0.25">
      <c r="B17" s="32">
        <v>2020</v>
      </c>
      <c r="C17" s="198" t="s">
        <v>279</v>
      </c>
      <c r="D17" s="259" cm="1">
        <f t="array" aca="1" ref="D17" ca="1">_xlfn.XLOOKUP(D$13,INDIRECT("'"&amp;$B17&amp;" EI'!$B$6:$B$53"),_xlfn.XLOOKUP($C$10,INDIRECT("'"&amp;$B17&amp;" EI'!$D$4:$Z$4"),INDIRECT("'"&amp;$B17&amp;" EI'!$D$6:$Z$53")))*_xlfn.XLOOKUP($B17&amp;D$15,'Gas Useage'!$A$4:$A$15&amp;'Gas Useage'!$B$4:$B$15,_xlfn.XLOOKUP($C17&amp;D$14,'Gas Useage'!$C$2:$AB$2&amp;'Gas Useage'!$C$3:$AB$3,'Gas Useage'!$C$4:$AB$15))/_xlfn.XLOOKUP($B17&amp;D$15,'Gas Useage'!$A$4:$A$15&amp;'Gas Useage'!$B$4:$B$15,_xlfn.XLOOKUP(D$14,'Gas Useage'!$AA$3:$AB$3,'Gas Useage'!$AA$4:$AB$15))</f>
        <v>6.1289644438692172E-3</v>
      </c>
      <c r="E17" s="259" cm="1">
        <f t="array" aca="1" ref="E17" ca="1">_xlfn.XLOOKUP(E$13,INDIRECT("'"&amp;$B17&amp;" EI'!$B$6:$B$53"),_xlfn.XLOOKUP($C$10,INDIRECT("'"&amp;$B17&amp;" EI'!$D$4:$Z$4"),INDIRECT("'"&amp;$B17&amp;" EI'!$D$6:$Z$53")))*_xlfn.XLOOKUP($B17&amp;E$15,'Gas Useage'!$A$4:$A$15&amp;'Gas Useage'!$B$4:$B$15,_xlfn.XLOOKUP($C17&amp;E$14,'Gas Useage'!$C$2:$AB$2&amp;'Gas Useage'!$C$3:$AB$3,'Gas Useage'!$C$4:$AB$15))/_xlfn.XLOOKUP($B17&amp;E$15,'Gas Useage'!$A$4:$A$15&amp;'Gas Useage'!$B$4:$B$15,_xlfn.XLOOKUP(E$14,'Gas Useage'!$AA$3:$AB$3,'Gas Useage'!$AA$4:$AB$15))</f>
        <v>2.4645221140186771E-3</v>
      </c>
      <c r="F17" s="259" cm="1">
        <f t="array" aca="1" ref="F17" ca="1">_xlfn.XLOOKUP(F$13,INDIRECT("'"&amp;$B17&amp;" EI'!$B$6:$B$53"),_xlfn.XLOOKUP($C$10,INDIRECT("'"&amp;$B17&amp;" EI'!$D$4:$Z$4"),INDIRECT("'"&amp;$B17&amp;" EI'!$D$6:$Z$53")))*_xlfn.XLOOKUP($B17&amp;F$15,'Gas Useage'!$A$4:$A$15&amp;'Gas Useage'!$B$4:$B$15,_xlfn.XLOOKUP($C17&amp;F$14,'Gas Useage'!$C$2:$AB$2&amp;'Gas Useage'!$C$3:$AB$3,'Gas Useage'!$C$4:$AB$15))/_xlfn.XLOOKUP($B17&amp;F$15,'Gas Useage'!$A$4:$A$15&amp;'Gas Useage'!$B$4:$B$15,_xlfn.XLOOKUP(F$14,'Gas Useage'!$AA$3:$AB$3,'Gas Useage'!$AA$4:$AB$15))</f>
        <v>4.9987749626091392E-3</v>
      </c>
      <c r="G17" s="259" cm="1">
        <f t="array" aca="1" ref="G17" ca="1">_xlfn.XLOOKUP(G$13,INDIRECT("'"&amp;$B17&amp;" EI'!$B$6:$B$53"),_xlfn.XLOOKUP($C$10,INDIRECT("'"&amp;$B17&amp;" EI'!$D$4:$Z$4"),INDIRECT("'"&amp;$B17&amp;" EI'!$D$6:$Z$53")))*_xlfn.XLOOKUP($B17&amp;G$15,'Gas Useage'!$A$4:$A$15&amp;'Gas Useage'!$B$4:$B$15,_xlfn.XLOOKUP($C17&amp;G$14,'Gas Useage'!$C$2:$AB$2&amp;'Gas Useage'!$C$3:$AB$3,'Gas Useage'!$C$4:$AB$15))/_xlfn.XLOOKUP($B17&amp;G$15,'Gas Useage'!$A$4:$A$15&amp;'Gas Useage'!$B$4:$B$15,_xlfn.XLOOKUP(G$14,'Gas Useage'!$AA$3:$AB$3,'Gas Useage'!$AA$4:$AB$15))</f>
        <v>2.0100608432598041E-3</v>
      </c>
      <c r="H17" s="260" t="s">
        <v>278</v>
      </c>
      <c r="I17" s="260" t="s">
        <v>278</v>
      </c>
      <c r="J17" s="260" t="s">
        <v>278</v>
      </c>
      <c r="K17" s="261" t="s">
        <v>278</v>
      </c>
      <c r="N17" s="258"/>
    </row>
    <row r="18" spans="2:14" ht="13.5" hidden="1" x14ac:dyDescent="0.25">
      <c r="B18" s="32">
        <v>2020</v>
      </c>
      <c r="C18" s="198" t="s">
        <v>280</v>
      </c>
      <c r="D18" s="259" cm="1">
        <f t="array" aca="1" ref="D18" ca="1">_xlfn.XLOOKUP(D$13,INDIRECT("'"&amp;$B18&amp;" EI'!$B$6:$B$53"),_xlfn.XLOOKUP($C$10,INDIRECT("'"&amp;$B18&amp;" EI'!$D$4:$Z$4"),INDIRECT("'"&amp;$B18&amp;" EI'!$D$6:$Z$53")))*_xlfn.XLOOKUP($B18&amp;D$15,'Gas Useage'!$A$4:$A$15&amp;'Gas Useage'!$B$4:$B$15,_xlfn.XLOOKUP($C18&amp;D$14,'Gas Useage'!$C$2:$AB$2&amp;'Gas Useage'!$C$3:$AB$3,'Gas Useage'!$C$4:$AB$15))/_xlfn.XLOOKUP($B18&amp;D$15,'Gas Useage'!$A$4:$A$15&amp;'Gas Useage'!$B$4:$B$15,_xlfn.XLOOKUP(D$14,'Gas Useage'!$AA$3:$AB$3,'Gas Useage'!$AA$4:$AB$15))</f>
        <v>6.2557888868535255E-3</v>
      </c>
      <c r="E18" s="259" cm="1">
        <f t="array" aca="1" ref="E18" ca="1">_xlfn.XLOOKUP(E$13,INDIRECT("'"&amp;$B18&amp;" EI'!$B$6:$B$53"),_xlfn.XLOOKUP($C$10,INDIRECT("'"&amp;$B18&amp;" EI'!$D$4:$Z$4"),INDIRECT("'"&amp;$B18&amp;" EI'!$D$6:$Z$53")))*_xlfn.XLOOKUP($B18&amp;E$15,'Gas Useage'!$A$4:$A$15&amp;'Gas Useage'!$B$4:$B$15,_xlfn.XLOOKUP($C18&amp;E$14,'Gas Useage'!$C$2:$AB$2&amp;'Gas Useage'!$C$3:$AB$3,'Gas Useage'!$C$4:$AB$15))/_xlfn.XLOOKUP($B18&amp;E$15,'Gas Useage'!$A$4:$A$15&amp;'Gas Useage'!$B$4:$B$15,_xlfn.XLOOKUP(E$14,'Gas Useage'!$AA$3:$AB$3,'Gas Useage'!$AA$4:$AB$15))</f>
        <v>2.6273029569573807E-3</v>
      </c>
      <c r="F18" s="259" cm="1">
        <f t="array" aca="1" ref="F18" ca="1">_xlfn.XLOOKUP(F$13,INDIRECT("'"&amp;$B18&amp;" EI'!$B$6:$B$53"),_xlfn.XLOOKUP($C$10,INDIRECT("'"&amp;$B18&amp;" EI'!$D$4:$Z$4"),INDIRECT("'"&amp;$B18&amp;" EI'!$D$6:$Z$53")))*_xlfn.XLOOKUP($B18&amp;F$15,'Gas Useage'!$A$4:$A$15&amp;'Gas Useage'!$B$4:$B$15,_xlfn.XLOOKUP($C18&amp;F$14,'Gas Useage'!$C$2:$AB$2&amp;'Gas Useage'!$C$3:$AB$3,'Gas Useage'!$C$4:$AB$15))/_xlfn.XLOOKUP($B18&amp;F$15,'Gas Useage'!$A$4:$A$15&amp;'Gas Useage'!$B$4:$B$15,_xlfn.XLOOKUP(F$14,'Gas Useage'!$AA$3:$AB$3,'Gas Useage'!$AA$4:$AB$15))</f>
        <v>3.88858402828922E-3</v>
      </c>
      <c r="G18" s="259" cm="1">
        <f t="array" aca="1" ref="G18" ca="1">_xlfn.XLOOKUP(G$13,INDIRECT("'"&amp;$B18&amp;" EI'!$B$6:$B$53"),_xlfn.XLOOKUP($C$10,INDIRECT("'"&amp;$B18&amp;" EI'!$D$4:$Z$4"),INDIRECT("'"&amp;$B18&amp;" EI'!$D$6:$Z$53")))*_xlfn.XLOOKUP($B18&amp;G$15,'Gas Useage'!$A$4:$A$15&amp;'Gas Useage'!$B$4:$B$15,_xlfn.XLOOKUP($C18&amp;G$14,'Gas Useage'!$C$2:$AB$2&amp;'Gas Useage'!$C$3:$AB$3,'Gas Useage'!$C$4:$AB$15))/_xlfn.XLOOKUP($B18&amp;G$15,'Gas Useage'!$A$4:$A$15&amp;'Gas Useage'!$B$4:$B$15,_xlfn.XLOOKUP(G$14,'Gas Useage'!$AA$3:$AB$3,'Gas Useage'!$AA$4:$AB$15))</f>
        <v>1.6331254939519065E-3</v>
      </c>
      <c r="H18" s="260" t="s">
        <v>278</v>
      </c>
      <c r="I18" s="260" t="s">
        <v>278</v>
      </c>
      <c r="J18" s="260" t="s">
        <v>278</v>
      </c>
      <c r="K18" s="261" t="s">
        <v>278</v>
      </c>
      <c r="N18" s="258"/>
    </row>
    <row r="19" spans="2:14" ht="13.5" hidden="1" x14ac:dyDescent="0.25">
      <c r="B19" s="32">
        <v>2020</v>
      </c>
      <c r="C19" s="198" t="s">
        <v>281</v>
      </c>
      <c r="D19" s="259" cm="1">
        <f t="array" aca="1" ref="D19" ca="1">_xlfn.XLOOKUP(D$13,INDIRECT("'"&amp;$B19&amp;" EI'!$B$6:$B$53"),_xlfn.XLOOKUP($C$10,INDIRECT("'"&amp;$B19&amp;" EI'!$D$4:$Z$4"),INDIRECT("'"&amp;$B19&amp;" EI'!$D$6:$Z$53")))*_xlfn.XLOOKUP($B19&amp;D$15,'Gas Useage'!$A$4:$A$15&amp;'Gas Useage'!$B$4:$B$15,_xlfn.XLOOKUP($C19&amp;D$14,'Gas Useage'!$C$2:$AB$2&amp;'Gas Useage'!$C$3:$AB$3,'Gas Useage'!$C$4:$AB$15))/_xlfn.XLOOKUP($B19&amp;D$15,'Gas Useage'!$A$4:$A$15&amp;'Gas Useage'!$B$4:$B$15,_xlfn.XLOOKUP(D$14,'Gas Useage'!$AA$3:$AB$3,'Gas Useage'!$AA$4:$AB$15))</f>
        <v>2.4241083848092798E-3</v>
      </c>
      <c r="E19" s="259" cm="1">
        <f t="array" aca="1" ref="E19" ca="1">_xlfn.XLOOKUP(E$13,INDIRECT("'"&amp;$B19&amp;" EI'!$B$6:$B$53"),_xlfn.XLOOKUP($C$10,INDIRECT("'"&amp;$B19&amp;" EI'!$D$4:$Z$4"),INDIRECT("'"&amp;$B19&amp;" EI'!$D$6:$Z$53")))*_xlfn.XLOOKUP($B19&amp;E$15,'Gas Useage'!$A$4:$A$15&amp;'Gas Useage'!$B$4:$B$15,_xlfn.XLOOKUP($C19&amp;E$14,'Gas Useage'!$C$2:$AB$2&amp;'Gas Useage'!$C$3:$AB$3,'Gas Useage'!$C$4:$AB$15))/_xlfn.XLOOKUP($B19&amp;E$15,'Gas Useage'!$A$4:$A$15&amp;'Gas Useage'!$B$4:$B$15,_xlfn.XLOOKUP(E$14,'Gas Useage'!$AA$3:$AB$3,'Gas Useage'!$AA$4:$AB$15))</f>
        <v>1.0418592956342916E-3</v>
      </c>
      <c r="F19" s="259" cm="1">
        <f t="array" aca="1" ref="F19" ca="1">_xlfn.XLOOKUP(F$13,INDIRECT("'"&amp;$B19&amp;" EI'!$B$6:$B$53"),_xlfn.XLOOKUP($C$10,INDIRECT("'"&amp;$B19&amp;" EI'!$D$4:$Z$4"),INDIRECT("'"&amp;$B19&amp;" EI'!$D$6:$Z$53")))*_xlfn.XLOOKUP($B19&amp;F$15,'Gas Useage'!$A$4:$A$15&amp;'Gas Useage'!$B$4:$B$15,_xlfn.XLOOKUP($C19&amp;F$14,'Gas Useage'!$C$2:$AB$2&amp;'Gas Useage'!$C$3:$AB$3,'Gas Useage'!$C$4:$AB$15))/_xlfn.XLOOKUP($B19&amp;F$15,'Gas Useage'!$A$4:$A$15&amp;'Gas Useage'!$B$4:$B$15,_xlfn.XLOOKUP(F$14,'Gas Useage'!$AA$3:$AB$3,'Gas Useage'!$AA$4:$AB$15))</f>
        <v>2.4322076443642712E-3</v>
      </c>
      <c r="G19" s="259" cm="1">
        <f t="array" aca="1" ref="G19" ca="1">_xlfn.XLOOKUP(G$13,INDIRECT("'"&amp;$B19&amp;" EI'!$B$6:$B$53"),_xlfn.XLOOKUP($C$10,INDIRECT("'"&amp;$B19&amp;" EI'!$D$4:$Z$4"),INDIRECT("'"&amp;$B19&amp;" EI'!$D$6:$Z$53")))*_xlfn.XLOOKUP($B19&amp;G$15,'Gas Useage'!$A$4:$A$15&amp;'Gas Useage'!$B$4:$B$15,_xlfn.XLOOKUP($C19&amp;G$14,'Gas Useage'!$C$2:$AB$2&amp;'Gas Useage'!$C$3:$AB$3,'Gas Useage'!$C$4:$AB$15))/_xlfn.XLOOKUP($B19&amp;G$15,'Gas Useage'!$A$4:$A$15&amp;'Gas Useage'!$B$4:$B$15,_xlfn.XLOOKUP(G$14,'Gas Useage'!$AA$3:$AB$3,'Gas Useage'!$AA$4:$AB$15))</f>
        <v>1.0453402822551876E-3</v>
      </c>
      <c r="H19" s="260" t="s">
        <v>278</v>
      </c>
      <c r="I19" s="260" t="s">
        <v>278</v>
      </c>
      <c r="J19" s="260" t="s">
        <v>278</v>
      </c>
      <c r="K19" s="261" t="s">
        <v>278</v>
      </c>
      <c r="N19" s="258"/>
    </row>
    <row r="20" spans="2:14" ht="13.5" hidden="1" x14ac:dyDescent="0.25">
      <c r="B20" s="32">
        <v>2020</v>
      </c>
      <c r="C20" s="198" t="s">
        <v>282</v>
      </c>
      <c r="D20" s="259" cm="1">
        <f t="array" aca="1" ref="D20" ca="1">_xlfn.XLOOKUP(D$13,INDIRECT("'"&amp;$B20&amp;" EI'!$B$6:$B$53"),_xlfn.XLOOKUP($C$10,INDIRECT("'"&amp;$B20&amp;" EI'!$D$4:$Z$4"),INDIRECT("'"&amp;$B20&amp;" EI'!$D$6:$Z$53")))*_xlfn.XLOOKUP($B20&amp;D$15,'Gas Useage'!$A$4:$A$15&amp;'Gas Useage'!$B$4:$B$15,_xlfn.XLOOKUP($C20&amp;D$14,'Gas Useage'!$C$2:$AB$2&amp;'Gas Useage'!$C$3:$AB$3,'Gas Useage'!$C$4:$AB$15))/_xlfn.XLOOKUP($B20&amp;D$15,'Gas Useage'!$A$4:$A$15&amp;'Gas Useage'!$B$4:$B$15,_xlfn.XLOOKUP(D$14,'Gas Useage'!$AA$3:$AB$3,'Gas Useage'!$AA$4:$AB$15))</f>
        <v>1.5193718023356103E-4</v>
      </c>
      <c r="E20" s="259" cm="1">
        <f t="array" aca="1" ref="E20" ca="1">_xlfn.XLOOKUP(E$13,INDIRECT("'"&amp;$B20&amp;" EI'!$B$6:$B$53"),_xlfn.XLOOKUP($C$10,INDIRECT("'"&amp;$B20&amp;" EI'!$D$4:$Z$4"),INDIRECT("'"&amp;$B20&amp;" EI'!$D$6:$Z$53")))*_xlfn.XLOOKUP($B20&amp;E$15,'Gas Useage'!$A$4:$A$15&amp;'Gas Useage'!$B$4:$B$15,_xlfn.XLOOKUP($C20&amp;E$14,'Gas Useage'!$C$2:$AB$2&amp;'Gas Useage'!$C$3:$AB$3,'Gas Useage'!$C$4:$AB$15))/_xlfn.XLOOKUP($B20&amp;E$15,'Gas Useage'!$A$4:$A$15&amp;'Gas Useage'!$B$4:$B$15,_xlfn.XLOOKUP(E$14,'Gas Useage'!$AA$3:$AB$3,'Gas Useage'!$AA$4:$AB$15))</f>
        <v>3.8055996422631479E-5</v>
      </c>
      <c r="F20" s="259" cm="1">
        <f t="array" aca="1" ref="F20" ca="1">_xlfn.XLOOKUP(F$13,INDIRECT("'"&amp;$B20&amp;" EI'!$B$6:$B$53"),_xlfn.XLOOKUP($C$10,INDIRECT("'"&amp;$B20&amp;" EI'!$D$4:$Z$4"),INDIRECT("'"&amp;$B20&amp;" EI'!$D$6:$Z$53")))*_xlfn.XLOOKUP($B20&amp;F$15,'Gas Useage'!$A$4:$A$15&amp;'Gas Useage'!$B$4:$B$15,_xlfn.XLOOKUP($C20&amp;F$14,'Gas Useage'!$C$2:$AB$2&amp;'Gas Useage'!$C$3:$AB$3,'Gas Useage'!$C$4:$AB$15))/_xlfn.XLOOKUP($B20&amp;F$15,'Gas Useage'!$A$4:$A$15&amp;'Gas Useage'!$B$4:$B$15,_xlfn.XLOOKUP(F$14,'Gas Useage'!$AA$3:$AB$3,'Gas Useage'!$AA$4:$AB$15))</f>
        <v>7.3397992251780627E-8</v>
      </c>
      <c r="G20" s="259" cm="1">
        <f t="array" aca="1" ref="G20" ca="1">_xlfn.XLOOKUP(G$13,INDIRECT("'"&amp;$B20&amp;" EI'!$B$6:$B$53"),_xlfn.XLOOKUP($C$10,INDIRECT("'"&amp;$B20&amp;" EI'!$D$4:$Z$4"),INDIRECT("'"&amp;$B20&amp;" EI'!$D$6:$Z$53")))*_xlfn.XLOOKUP($B20&amp;G$15,'Gas Useage'!$A$4:$A$15&amp;'Gas Useage'!$B$4:$B$15,_xlfn.XLOOKUP($C20&amp;G$14,'Gas Useage'!$C$2:$AB$2&amp;'Gas Useage'!$C$3:$AB$3,'Gas Useage'!$C$4:$AB$15))/_xlfn.XLOOKUP($B20&amp;G$15,'Gas Useage'!$A$4:$A$15&amp;'Gas Useage'!$B$4:$B$15,_xlfn.XLOOKUP(G$14,'Gas Useage'!$AA$3:$AB$3,'Gas Useage'!$AA$4:$AB$15))</f>
        <v>1.8384135642561481E-8</v>
      </c>
      <c r="H20" s="260" t="s">
        <v>278</v>
      </c>
      <c r="I20" s="260" t="s">
        <v>278</v>
      </c>
      <c r="J20" s="260" t="s">
        <v>278</v>
      </c>
      <c r="K20" s="261" t="s">
        <v>278</v>
      </c>
      <c r="N20" s="258"/>
    </row>
    <row r="21" spans="2:14" ht="13.5" hidden="1" x14ac:dyDescent="0.25">
      <c r="B21" s="32">
        <v>2020</v>
      </c>
      <c r="C21" s="198" t="s">
        <v>283</v>
      </c>
      <c r="D21" s="259" cm="1">
        <f t="array" aca="1" ref="D21" ca="1">_xlfn.XLOOKUP(D$13,INDIRECT("'"&amp;$B21&amp;" EI'!$B$6:$B$53"),_xlfn.XLOOKUP($C$10,INDIRECT("'"&amp;$B21&amp;" EI'!$D$4:$Z$4"),INDIRECT("'"&amp;$B21&amp;" EI'!$D$6:$Z$53")))*_xlfn.XLOOKUP($B21&amp;D$15,'Gas Useage'!$A$4:$A$15&amp;'Gas Useage'!$B$4:$B$15,_xlfn.XLOOKUP($C21&amp;D$14,'Gas Useage'!$C$2:$AB$2&amp;'Gas Useage'!$C$3:$AB$3,'Gas Useage'!$C$4:$AB$15))/_xlfn.XLOOKUP($B21&amp;D$15,'Gas Useage'!$A$4:$A$15&amp;'Gas Useage'!$B$4:$B$15,_xlfn.XLOOKUP(D$14,'Gas Useage'!$AA$3:$AB$3,'Gas Useage'!$AA$4:$AB$15))</f>
        <v>0</v>
      </c>
      <c r="E21" s="259" cm="1">
        <f t="array" aca="1" ref="E21" ca="1">_xlfn.XLOOKUP(E$13,INDIRECT("'"&amp;$B21&amp;" EI'!$B$6:$B$53"),_xlfn.XLOOKUP($C$10,INDIRECT("'"&amp;$B21&amp;" EI'!$D$4:$Z$4"),INDIRECT("'"&amp;$B21&amp;" EI'!$D$6:$Z$53")))*_xlfn.XLOOKUP($B21&amp;E$15,'Gas Useage'!$A$4:$A$15&amp;'Gas Useage'!$B$4:$B$15,_xlfn.XLOOKUP($C21&amp;E$14,'Gas Useage'!$C$2:$AB$2&amp;'Gas Useage'!$C$3:$AB$3,'Gas Useage'!$C$4:$AB$15))/_xlfn.XLOOKUP($B21&amp;E$15,'Gas Useage'!$A$4:$A$15&amp;'Gas Useage'!$B$4:$B$15,_xlfn.XLOOKUP(E$14,'Gas Useage'!$AA$3:$AB$3,'Gas Useage'!$AA$4:$AB$15))</f>
        <v>0</v>
      </c>
      <c r="F21" s="259" cm="1">
        <f t="array" aca="1" ref="F21" ca="1">_xlfn.XLOOKUP(F$13,INDIRECT("'"&amp;$B21&amp;" EI'!$B$6:$B$53"),_xlfn.XLOOKUP($C$10,INDIRECT("'"&amp;$B21&amp;" EI'!$D$4:$Z$4"),INDIRECT("'"&amp;$B21&amp;" EI'!$D$6:$Z$53")))*_xlfn.XLOOKUP($B21&amp;F$15,'Gas Useage'!$A$4:$A$15&amp;'Gas Useage'!$B$4:$B$15,_xlfn.XLOOKUP($C21&amp;F$14,'Gas Useage'!$C$2:$AB$2&amp;'Gas Useage'!$C$3:$AB$3,'Gas Useage'!$C$4:$AB$15))/_xlfn.XLOOKUP($B21&amp;F$15,'Gas Useage'!$A$4:$A$15&amp;'Gas Useage'!$B$4:$B$15,_xlfn.XLOOKUP(F$14,'Gas Useage'!$AA$3:$AB$3,'Gas Useage'!$AA$4:$AB$15))</f>
        <v>0</v>
      </c>
      <c r="G21" s="259" cm="1">
        <f t="array" aca="1" ref="G21" ca="1">_xlfn.XLOOKUP(G$13,INDIRECT("'"&amp;$B21&amp;" EI'!$B$6:$B$53"),_xlfn.XLOOKUP($C$10,INDIRECT("'"&amp;$B21&amp;" EI'!$D$4:$Z$4"),INDIRECT("'"&amp;$B21&amp;" EI'!$D$6:$Z$53")))*_xlfn.XLOOKUP($B21&amp;G$15,'Gas Useage'!$A$4:$A$15&amp;'Gas Useage'!$B$4:$B$15,_xlfn.XLOOKUP($C21&amp;G$14,'Gas Useage'!$C$2:$AB$2&amp;'Gas Useage'!$C$3:$AB$3,'Gas Useage'!$C$4:$AB$15))/_xlfn.XLOOKUP($B21&amp;G$15,'Gas Useage'!$A$4:$A$15&amp;'Gas Useage'!$B$4:$B$15,_xlfn.XLOOKUP(G$14,'Gas Useage'!$AA$3:$AB$3,'Gas Useage'!$AA$4:$AB$15))</f>
        <v>0</v>
      </c>
      <c r="H21" s="260" t="s">
        <v>278</v>
      </c>
      <c r="I21" s="260" t="s">
        <v>278</v>
      </c>
      <c r="J21" s="260" t="s">
        <v>278</v>
      </c>
      <c r="K21" s="261" t="s">
        <v>278</v>
      </c>
      <c r="N21" s="258"/>
    </row>
    <row r="22" spans="2:14" ht="13.5" hidden="1" x14ac:dyDescent="0.25">
      <c r="B22" s="32">
        <v>2020</v>
      </c>
      <c r="C22" s="198" t="s">
        <v>284</v>
      </c>
      <c r="D22" s="259" cm="1">
        <f t="array" aca="1" ref="D22" ca="1">_xlfn.XLOOKUP(D$13,INDIRECT("'"&amp;$B22&amp;" EI'!$B$6:$B$53"),_xlfn.XLOOKUP($C$10,INDIRECT("'"&amp;$B22&amp;" EI'!$D$4:$Z$4"),INDIRECT("'"&amp;$B22&amp;" EI'!$D$6:$Z$53")))*_xlfn.XLOOKUP($B22&amp;D$15,'Gas Useage'!$A$4:$A$15&amp;'Gas Useage'!$B$4:$B$15,_xlfn.XLOOKUP($C22&amp;D$14,'Gas Useage'!$C$2:$AB$2&amp;'Gas Useage'!$C$3:$AB$3,'Gas Useage'!$C$4:$AB$15))/_xlfn.XLOOKUP($B22&amp;D$15,'Gas Useage'!$A$4:$A$15&amp;'Gas Useage'!$B$4:$B$15,_xlfn.XLOOKUP(D$14,'Gas Useage'!$AA$3:$AB$3,'Gas Useage'!$AA$4:$AB$15))</f>
        <v>6.108372405457075E-3</v>
      </c>
      <c r="E22" s="259" cm="1">
        <f t="array" aca="1" ref="E22" ca="1">_xlfn.XLOOKUP(E$13,INDIRECT("'"&amp;$B22&amp;" EI'!$B$6:$B$53"),_xlfn.XLOOKUP($C$10,INDIRECT("'"&amp;$B22&amp;" EI'!$D$4:$Z$4"),INDIRECT("'"&amp;$B22&amp;" EI'!$D$6:$Z$53")))*_xlfn.XLOOKUP($B22&amp;E$15,'Gas Useage'!$A$4:$A$15&amp;'Gas Useage'!$B$4:$B$15,_xlfn.XLOOKUP($C22&amp;E$14,'Gas Useage'!$C$2:$AB$2&amp;'Gas Useage'!$C$3:$AB$3,'Gas Useage'!$C$4:$AB$15))/_xlfn.XLOOKUP($B22&amp;E$15,'Gas Useage'!$A$4:$A$15&amp;'Gas Useage'!$B$4:$B$15,_xlfn.XLOOKUP(E$14,'Gas Useage'!$AA$3:$AB$3,'Gas Useage'!$AA$4:$AB$15))</f>
        <v>2.4406260769652016E-3</v>
      </c>
      <c r="F22" s="259" cm="1">
        <f t="array" aca="1" ref="F22" ca="1">_xlfn.XLOOKUP(F$13,INDIRECT("'"&amp;$B22&amp;" EI'!$B$6:$B$53"),_xlfn.XLOOKUP($C$10,INDIRECT("'"&amp;$B22&amp;" EI'!$D$4:$Z$4"),INDIRECT("'"&amp;$B22&amp;" EI'!$D$6:$Z$53")))*_xlfn.XLOOKUP($B22&amp;F$15,'Gas Useage'!$A$4:$A$15&amp;'Gas Useage'!$B$4:$B$15,_xlfn.XLOOKUP($C22&amp;F$14,'Gas Useage'!$C$2:$AB$2&amp;'Gas Useage'!$C$3:$AB$3,'Gas Useage'!$C$4:$AB$15))/_xlfn.XLOOKUP($B22&amp;F$15,'Gas Useage'!$A$4:$A$15&amp;'Gas Useage'!$B$4:$B$15,_xlfn.XLOOKUP(F$14,'Gas Useage'!$AA$3:$AB$3,'Gas Useage'!$AA$4:$AB$15))</f>
        <v>3.8394540517396316E-3</v>
      </c>
      <c r="G22" s="259" cm="1">
        <f t="array" aca="1" ref="G22" ca="1">_xlfn.XLOOKUP(G$13,INDIRECT("'"&amp;$B22&amp;" EI'!$B$6:$B$53"),_xlfn.XLOOKUP($C$10,INDIRECT("'"&amp;$B22&amp;" EI'!$D$4:$Z$4"),INDIRECT("'"&amp;$B22&amp;" EI'!$D$6:$Z$53")))*_xlfn.XLOOKUP($B22&amp;G$15,'Gas Useage'!$A$4:$A$15&amp;'Gas Useage'!$B$4:$B$15,_xlfn.XLOOKUP($C22&amp;G$14,'Gas Useage'!$C$2:$AB$2&amp;'Gas Useage'!$C$3:$AB$3,'Gas Useage'!$C$4:$AB$15))/_xlfn.XLOOKUP($B22&amp;G$15,'Gas Useage'!$A$4:$A$15&amp;'Gas Useage'!$B$4:$B$15,_xlfn.XLOOKUP(G$14,'Gas Useage'!$AA$3:$AB$3,'Gas Useage'!$AA$4:$AB$15))</f>
        <v>1.5340701348879628E-3</v>
      </c>
      <c r="H22" s="260" t="s">
        <v>278</v>
      </c>
      <c r="I22" s="260" t="s">
        <v>278</v>
      </c>
      <c r="J22" s="260" t="s">
        <v>278</v>
      </c>
      <c r="K22" s="261" t="s">
        <v>278</v>
      </c>
      <c r="N22" s="258"/>
    </row>
    <row r="23" spans="2:14" ht="13.5" hidden="1" x14ac:dyDescent="0.25">
      <c r="B23" s="32">
        <v>2020</v>
      </c>
      <c r="C23" s="198" t="s">
        <v>285</v>
      </c>
      <c r="D23" s="259" cm="1">
        <f t="array" aca="1" ref="D23" ca="1">_xlfn.XLOOKUP(D$13,INDIRECT("'"&amp;$B23&amp;" EI'!$B$6:$B$53"),_xlfn.XLOOKUP($C$10,INDIRECT("'"&amp;$B23&amp;" EI'!$D$4:$Z$4"),INDIRECT("'"&amp;$B23&amp;" EI'!$D$6:$Z$53")))*_xlfn.XLOOKUP($B23&amp;D$15,'Gas Useage'!$A$4:$A$15&amp;'Gas Useage'!$B$4:$B$15,_xlfn.XLOOKUP($C23&amp;D$14,'Gas Useage'!$C$2:$AB$2&amp;'Gas Useage'!$C$3:$AB$3,'Gas Useage'!$C$4:$AB$15))/_xlfn.XLOOKUP($B23&amp;D$15,'Gas Useage'!$A$4:$A$15&amp;'Gas Useage'!$B$4:$B$15,_xlfn.XLOOKUP(D$14,'Gas Useage'!$AA$3:$AB$3,'Gas Useage'!$AA$4:$AB$15))</f>
        <v>6.1438287975021716E-3</v>
      </c>
      <c r="E23" s="259" cm="1">
        <f t="array" aca="1" ref="E23" ca="1">_xlfn.XLOOKUP(E$13,INDIRECT("'"&amp;$B23&amp;" EI'!$B$6:$B$53"),_xlfn.XLOOKUP($C$10,INDIRECT("'"&amp;$B23&amp;" EI'!$D$4:$Z$4"),INDIRECT("'"&amp;$B23&amp;" EI'!$D$6:$Z$53")))*_xlfn.XLOOKUP($B23&amp;E$15,'Gas Useage'!$A$4:$A$15&amp;'Gas Useage'!$B$4:$B$15,_xlfn.XLOOKUP($C23&amp;E$14,'Gas Useage'!$C$2:$AB$2&amp;'Gas Useage'!$C$3:$AB$3,'Gas Useage'!$C$4:$AB$15))/_xlfn.XLOOKUP($B23&amp;E$15,'Gas Useage'!$A$4:$A$15&amp;'Gas Useage'!$B$4:$B$15,_xlfn.XLOOKUP(E$14,'Gas Useage'!$AA$3:$AB$3,'Gas Useage'!$AA$4:$AB$15))</f>
        <v>1.8665157159645656E-3</v>
      </c>
      <c r="F23" s="259" cm="1">
        <f t="array" aca="1" ref="F23" ca="1">_xlfn.XLOOKUP(F$13,INDIRECT("'"&amp;$B23&amp;" EI'!$B$6:$B$53"),_xlfn.XLOOKUP($C$10,INDIRECT("'"&amp;$B23&amp;" EI'!$D$4:$Z$4"),INDIRECT("'"&amp;$B23&amp;" EI'!$D$6:$Z$53")))*_xlfn.XLOOKUP($B23&amp;F$15,'Gas Useage'!$A$4:$A$15&amp;'Gas Useage'!$B$4:$B$15,_xlfn.XLOOKUP($C23&amp;F$14,'Gas Useage'!$C$2:$AB$2&amp;'Gas Useage'!$C$3:$AB$3,'Gas Useage'!$C$4:$AB$15))/_xlfn.XLOOKUP($B23&amp;F$15,'Gas Useage'!$A$4:$A$15&amp;'Gas Useage'!$B$4:$B$15,_xlfn.XLOOKUP(F$14,'Gas Useage'!$AA$3:$AB$3,'Gas Useage'!$AA$4:$AB$15))</f>
        <v>7.1179167999405111E-4</v>
      </c>
      <c r="G23" s="259" cm="1">
        <f t="array" aca="1" ref="G23" ca="1">_xlfn.XLOOKUP(G$13,INDIRECT("'"&amp;$B23&amp;" EI'!$B$6:$B$53"),_xlfn.XLOOKUP($C$10,INDIRECT("'"&amp;$B23&amp;" EI'!$D$4:$Z$4"),INDIRECT("'"&amp;$B23&amp;" EI'!$D$6:$Z$53")))*_xlfn.XLOOKUP($B23&amp;G$15,'Gas Useage'!$A$4:$A$15&amp;'Gas Useage'!$B$4:$B$15,_xlfn.XLOOKUP($C23&amp;G$14,'Gas Useage'!$C$2:$AB$2&amp;'Gas Useage'!$C$3:$AB$3,'Gas Useage'!$C$4:$AB$15))/_xlfn.XLOOKUP($B23&amp;G$15,'Gas Useage'!$A$4:$A$15&amp;'Gas Useage'!$B$4:$B$15,_xlfn.XLOOKUP(G$14,'Gas Useage'!$AA$3:$AB$3,'Gas Useage'!$AA$4:$AB$15))</f>
        <v>2.1624469056524812E-4</v>
      </c>
      <c r="H23" s="260" t="s">
        <v>278</v>
      </c>
      <c r="I23" s="260" t="s">
        <v>278</v>
      </c>
      <c r="J23" s="260" t="s">
        <v>278</v>
      </c>
      <c r="K23" s="261" t="s">
        <v>278</v>
      </c>
      <c r="N23" s="258"/>
    </row>
    <row r="24" spans="2:14" ht="13.5" hidden="1" x14ac:dyDescent="0.25">
      <c r="B24" s="32">
        <v>2020</v>
      </c>
      <c r="C24" s="198" t="s">
        <v>286</v>
      </c>
      <c r="D24" s="259" cm="1">
        <f t="array" aca="1" ref="D24" ca="1">_xlfn.XLOOKUP(D$13,INDIRECT("'"&amp;$B24&amp;" EI'!$B$6:$B$53"),_xlfn.XLOOKUP($C$10,INDIRECT("'"&amp;$B24&amp;" EI'!$D$4:$Z$4"),INDIRECT("'"&amp;$B24&amp;" EI'!$D$6:$Z$53")))*_xlfn.XLOOKUP($B24&amp;D$15,'Gas Useage'!$A$4:$A$15&amp;'Gas Useage'!$B$4:$B$15,_xlfn.XLOOKUP($C24&amp;D$14,'Gas Useage'!$C$2:$AB$2&amp;'Gas Useage'!$C$3:$AB$3,'Gas Useage'!$C$4:$AB$15))/_xlfn.XLOOKUP($B24&amp;D$15,'Gas Useage'!$A$4:$A$15&amp;'Gas Useage'!$B$4:$B$15,_xlfn.XLOOKUP(D$14,'Gas Useage'!$AA$3:$AB$3,'Gas Useage'!$AA$4:$AB$15))</f>
        <v>1.6866190660288737E-3</v>
      </c>
      <c r="E24" s="259" cm="1">
        <f t="array" aca="1" ref="E24" ca="1">_xlfn.XLOOKUP(E$13,INDIRECT("'"&amp;$B24&amp;" EI'!$B$6:$B$53"),_xlfn.XLOOKUP($C$10,INDIRECT("'"&amp;$B24&amp;" EI'!$D$4:$Z$4"),INDIRECT("'"&amp;$B24&amp;" EI'!$D$6:$Z$53")))*_xlfn.XLOOKUP($B24&amp;E$15,'Gas Useage'!$A$4:$A$15&amp;'Gas Useage'!$B$4:$B$15,_xlfn.XLOOKUP($C24&amp;E$14,'Gas Useage'!$C$2:$AB$2&amp;'Gas Useage'!$C$3:$AB$3,'Gas Useage'!$C$4:$AB$15))/_xlfn.XLOOKUP($B24&amp;E$15,'Gas Useage'!$A$4:$A$15&amp;'Gas Useage'!$B$4:$B$15,_xlfn.XLOOKUP(E$14,'Gas Useage'!$AA$3:$AB$3,'Gas Useage'!$AA$4:$AB$15))</f>
        <v>8.3588030785141992E-4</v>
      </c>
      <c r="F24" s="259" cm="1">
        <f t="array" aca="1" ref="F24" ca="1">_xlfn.XLOOKUP(F$13,INDIRECT("'"&amp;$B24&amp;" EI'!$B$6:$B$53"),_xlfn.XLOOKUP($C$10,INDIRECT("'"&amp;$B24&amp;" EI'!$D$4:$Z$4"),INDIRECT("'"&amp;$B24&amp;" EI'!$D$6:$Z$53")))*_xlfn.XLOOKUP($B24&amp;F$15,'Gas Useage'!$A$4:$A$15&amp;'Gas Useage'!$B$4:$B$15,_xlfn.XLOOKUP($C24&amp;F$14,'Gas Useage'!$C$2:$AB$2&amp;'Gas Useage'!$C$3:$AB$3,'Gas Useage'!$C$4:$AB$15))/_xlfn.XLOOKUP($B24&amp;F$15,'Gas Useage'!$A$4:$A$15&amp;'Gas Useage'!$B$4:$B$15,_xlfn.XLOOKUP(F$14,'Gas Useage'!$AA$3:$AB$3,'Gas Useage'!$AA$4:$AB$15))</f>
        <v>1.154648552665628E-5</v>
      </c>
      <c r="G24" s="259" cm="1">
        <f t="array" aca="1" ref="G24" ca="1">_xlfn.XLOOKUP(G$13,INDIRECT("'"&amp;$B24&amp;" EI'!$B$6:$B$53"),_xlfn.XLOOKUP($C$10,INDIRECT("'"&amp;$B24&amp;" EI'!$D$4:$Z$4"),INDIRECT("'"&amp;$B24&amp;" EI'!$D$6:$Z$53")))*_xlfn.XLOOKUP($B24&amp;G$15,'Gas Useage'!$A$4:$A$15&amp;'Gas Useage'!$B$4:$B$15,_xlfn.XLOOKUP($C24&amp;G$14,'Gas Useage'!$C$2:$AB$2&amp;'Gas Useage'!$C$3:$AB$3,'Gas Useage'!$C$4:$AB$15))/_xlfn.XLOOKUP($B24&amp;G$15,'Gas Useage'!$A$4:$A$15&amp;'Gas Useage'!$B$4:$B$15,_xlfn.XLOOKUP(G$14,'Gas Useage'!$AA$3:$AB$3,'Gas Useage'!$AA$4:$AB$15))</f>
        <v>5.7223827662210188E-6</v>
      </c>
      <c r="H24" s="260" t="s">
        <v>278</v>
      </c>
      <c r="I24" s="260" t="s">
        <v>278</v>
      </c>
      <c r="J24" s="260" t="s">
        <v>278</v>
      </c>
      <c r="K24" s="261" t="s">
        <v>278</v>
      </c>
      <c r="N24" s="258"/>
    </row>
    <row r="25" spans="2:14" ht="13.5" x14ac:dyDescent="0.25">
      <c r="B25" s="32">
        <v>2020</v>
      </c>
      <c r="C25" s="494" t="s">
        <v>287</v>
      </c>
      <c r="D25" s="259" cm="1">
        <f t="array" aca="1" ref="D25" ca="1">_xlfn.XLOOKUP(D$13,INDIRECT("'"&amp;$B25&amp;" EI'!$B$6:$B$53"),_xlfn.XLOOKUP($C$10,INDIRECT("'"&amp;$B25&amp;" EI'!$D$4:$Z$4"),INDIRECT("'"&amp;$B25&amp;" EI'!$D$6:$Z$53")))*_xlfn.XLOOKUP($B25&amp;D$15,'Gas Useage'!$A$4:$A$15&amp;'Gas Useage'!$B$4:$B$15,_xlfn.XLOOKUP($C25&amp;D$14,'Gas Useage'!$C$2:$AB$2&amp;'Gas Useage'!$C$3:$AB$3,'Gas Useage'!$C$4:$AB$15))/_xlfn.XLOOKUP($B25&amp;D$15,'Gas Useage'!$A$4:$A$15&amp;'Gas Useage'!$B$4:$B$15,_xlfn.XLOOKUP(D$14,'Gas Useage'!$AA$3:$AB$3,'Gas Useage'!$AA$4:$AB$15))</f>
        <v>1.9619028997421278E-3</v>
      </c>
      <c r="E25" s="259" cm="1">
        <f t="array" aca="1" ref="E25" ca="1">_xlfn.XLOOKUP(E$13,INDIRECT("'"&amp;$B25&amp;" EI'!$B$6:$B$53"),_xlfn.XLOOKUP($C$10,INDIRECT("'"&amp;$B25&amp;" EI'!$D$4:$Z$4"),INDIRECT("'"&amp;$B25&amp;" EI'!$D$6:$Z$53")))*_xlfn.XLOOKUP($B25&amp;E$15,'Gas Useage'!$A$4:$A$15&amp;'Gas Useage'!$B$4:$B$15,_xlfn.XLOOKUP($C25&amp;E$14,'Gas Useage'!$C$2:$AB$2&amp;'Gas Useage'!$C$3:$AB$3,'Gas Useage'!$C$4:$AB$15))/_xlfn.XLOOKUP($B25&amp;E$15,'Gas Useage'!$A$4:$A$15&amp;'Gas Useage'!$B$4:$B$15,_xlfn.XLOOKUP(E$14,'Gas Useage'!$AA$3:$AB$3,'Gas Useage'!$AA$4:$AB$15))</f>
        <v>6.7886008526534675E-4</v>
      </c>
      <c r="F25" s="259" cm="1">
        <f t="array" aca="1" ref="F25" ca="1">_xlfn.XLOOKUP(F$13,INDIRECT("'"&amp;$B25&amp;" EI'!$B$6:$B$53"),_xlfn.XLOOKUP($C$10,INDIRECT("'"&amp;$B25&amp;" EI'!$D$4:$Z$4"),INDIRECT("'"&amp;$B25&amp;" EI'!$D$6:$Z$53")))*_xlfn.XLOOKUP($B25&amp;F$15,'Gas Useage'!$A$4:$A$15&amp;'Gas Useage'!$B$4:$B$15,_xlfn.XLOOKUP($C25&amp;F$14,'Gas Useage'!$C$2:$AB$2&amp;'Gas Useage'!$C$3:$AB$3,'Gas Useage'!$C$4:$AB$15))/_xlfn.XLOOKUP($B25&amp;F$15,'Gas Useage'!$A$4:$A$15&amp;'Gas Useage'!$B$4:$B$15,_xlfn.XLOOKUP(F$14,'Gas Useage'!$AA$3:$AB$3,'Gas Useage'!$AA$4:$AB$15))</f>
        <v>4.5372100472996068E-3</v>
      </c>
      <c r="G25" s="259" cm="1">
        <f t="array" aca="1" ref="G25" ca="1">_xlfn.XLOOKUP(G$13,INDIRECT("'"&amp;$B25&amp;" EI'!$B$6:$B$53"),_xlfn.XLOOKUP($C$10,INDIRECT("'"&amp;$B25&amp;" EI'!$D$4:$Z$4"),INDIRECT("'"&amp;$B25&amp;" EI'!$D$6:$Z$53")))*_xlfn.XLOOKUP($B25&amp;G$15,'Gas Useage'!$A$4:$A$15&amp;'Gas Useage'!$B$4:$B$15,_xlfn.XLOOKUP($C25&amp;G$14,'Gas Useage'!$C$2:$AB$2&amp;'Gas Useage'!$C$3:$AB$3,'Gas Useage'!$C$4:$AB$15))/_xlfn.XLOOKUP($B25&amp;G$15,'Gas Useage'!$A$4:$A$15&amp;'Gas Useage'!$B$4:$B$15,_xlfn.XLOOKUP(G$14,'Gas Useage'!$AA$3:$AB$3,'Gas Useage'!$AA$4:$AB$15))</f>
        <v>1.5699710724630927E-3</v>
      </c>
      <c r="H25" s="260" t="s">
        <v>278</v>
      </c>
      <c r="I25" s="260" t="s">
        <v>278</v>
      </c>
      <c r="J25" s="260" t="s">
        <v>278</v>
      </c>
      <c r="K25" s="261" t="s">
        <v>278</v>
      </c>
      <c r="N25" s="258"/>
    </row>
    <row r="26" spans="2:14" ht="13.5" x14ac:dyDescent="0.25">
      <c r="B26" s="32">
        <v>2020</v>
      </c>
      <c r="C26" s="494" t="s">
        <v>288</v>
      </c>
      <c r="D26" s="259" cm="1">
        <f t="array" aca="1" ref="D26" ca="1">_xlfn.XLOOKUP(D$13,INDIRECT("'"&amp;$B26&amp;" EI'!$B$6:$B$53"),_xlfn.XLOOKUP($C$10,INDIRECT("'"&amp;$B26&amp;" EI'!$D$4:$Z$4"),INDIRECT("'"&amp;$B26&amp;" EI'!$D$6:$Z$53")))*_xlfn.XLOOKUP($B26&amp;D$15,'Gas Useage'!$A$4:$A$15&amp;'Gas Useage'!$B$4:$B$15,_xlfn.XLOOKUP($C26&amp;D$14,'Gas Useage'!$C$2:$AB$2&amp;'Gas Useage'!$C$3:$AB$3,'Gas Useage'!$C$4:$AB$15))/_xlfn.XLOOKUP($B26&amp;D$15,'Gas Useage'!$A$4:$A$15&amp;'Gas Useage'!$B$4:$B$15,_xlfn.XLOOKUP(D$14,'Gas Useage'!$AA$3:$AB$3,'Gas Useage'!$AA$4:$AB$15))</f>
        <v>4.230259135110691E-3</v>
      </c>
      <c r="E26" s="259" cm="1">
        <f t="array" aca="1" ref="E26" ca="1">_xlfn.XLOOKUP(E$13,INDIRECT("'"&amp;$B26&amp;" EI'!$B$6:$B$53"),_xlfn.XLOOKUP($C$10,INDIRECT("'"&amp;$B26&amp;" EI'!$D$4:$Z$4"),INDIRECT("'"&amp;$B26&amp;" EI'!$D$6:$Z$53")))*_xlfn.XLOOKUP($B26&amp;E$15,'Gas Useage'!$A$4:$A$15&amp;'Gas Useage'!$B$4:$B$15,_xlfn.XLOOKUP($C26&amp;E$14,'Gas Useage'!$C$2:$AB$2&amp;'Gas Useage'!$C$3:$AB$3,'Gas Useage'!$C$4:$AB$15))/_xlfn.XLOOKUP($B26&amp;E$15,'Gas Useage'!$A$4:$A$15&amp;'Gas Useage'!$B$4:$B$15,_xlfn.XLOOKUP(E$14,'Gas Useage'!$AA$3:$AB$3,'Gas Useage'!$AA$4:$AB$15))</f>
        <v>1.9775012557180522E-3</v>
      </c>
      <c r="F26" s="259" cm="1">
        <f t="array" aca="1" ref="F26" ca="1">_xlfn.XLOOKUP(F$13,INDIRECT("'"&amp;$B26&amp;" EI'!$B$6:$B$53"),_xlfn.XLOOKUP($C$10,INDIRECT("'"&amp;$B26&amp;" EI'!$D$4:$Z$4"),INDIRECT("'"&amp;$B26&amp;" EI'!$D$6:$Z$53")))*_xlfn.XLOOKUP($B26&amp;F$15,'Gas Useage'!$A$4:$A$15&amp;'Gas Useage'!$B$4:$B$15,_xlfn.XLOOKUP($C26&amp;F$14,'Gas Useage'!$C$2:$AB$2&amp;'Gas Useage'!$C$3:$AB$3,'Gas Useage'!$C$4:$AB$15))/_xlfn.XLOOKUP($B26&amp;F$15,'Gas Useage'!$A$4:$A$15&amp;'Gas Useage'!$B$4:$B$15,_xlfn.XLOOKUP(F$14,'Gas Useage'!$AA$3:$AB$3,'Gas Useage'!$AA$4:$AB$15))</f>
        <v>6.4033799226236752E-3</v>
      </c>
      <c r="G26" s="259" cm="1">
        <f t="array" aca="1" ref="G26" ca="1">_xlfn.XLOOKUP(G$13,INDIRECT("'"&amp;$B26&amp;" EI'!$B$6:$B$53"),_xlfn.XLOOKUP($C$10,INDIRECT("'"&amp;$B26&amp;" EI'!$D$4:$Z$4"),INDIRECT("'"&amp;$B26&amp;" EI'!$D$6:$Z$53")))*_xlfn.XLOOKUP($B26&amp;G$15,'Gas Useage'!$A$4:$A$15&amp;'Gas Useage'!$B$4:$B$15,_xlfn.XLOOKUP($C26&amp;G$14,'Gas Useage'!$C$2:$AB$2&amp;'Gas Useage'!$C$3:$AB$3,'Gas Useage'!$C$4:$AB$15))/_xlfn.XLOOKUP($B26&amp;G$15,'Gas Useage'!$A$4:$A$15&amp;'Gas Useage'!$B$4:$B$15,_xlfn.XLOOKUP(G$14,'Gas Useage'!$AA$3:$AB$3,'Gas Useage'!$AA$4:$AB$15))</f>
        <v>2.9933607926590404E-3</v>
      </c>
      <c r="H26" s="260" t="s">
        <v>278</v>
      </c>
      <c r="I26" s="260" t="s">
        <v>278</v>
      </c>
      <c r="J26" s="260" t="s">
        <v>278</v>
      </c>
      <c r="K26" s="261" t="s">
        <v>278</v>
      </c>
      <c r="N26" s="258"/>
    </row>
    <row r="27" spans="2:14" ht="13.5" x14ac:dyDescent="0.25">
      <c r="B27" s="32">
        <v>2020</v>
      </c>
      <c r="C27" s="494" t="s">
        <v>289</v>
      </c>
      <c r="D27" s="259" cm="1">
        <f t="array" aca="1" ref="D27" ca="1">_xlfn.XLOOKUP(D$13,INDIRECT("'"&amp;$B27&amp;" EI'!$B$6:$B$53"),_xlfn.XLOOKUP($C$10,INDIRECT("'"&amp;$B27&amp;" EI'!$D$4:$Z$4"),INDIRECT("'"&amp;$B27&amp;" EI'!$D$6:$Z$53")))*_xlfn.XLOOKUP($B27&amp;D$15,'Gas Useage'!$A$4:$A$15&amp;'Gas Useage'!$B$4:$B$15,_xlfn.XLOOKUP($C27&amp;D$14,'Gas Useage'!$C$2:$AB$2&amp;'Gas Useage'!$C$3:$AB$3,'Gas Useage'!$C$4:$AB$15))/_xlfn.XLOOKUP($B27&amp;D$15,'Gas Useage'!$A$4:$A$15&amp;'Gas Useage'!$B$4:$B$15,_xlfn.XLOOKUP(D$14,'Gas Useage'!$AA$3:$AB$3,'Gas Useage'!$AA$4:$AB$15))</f>
        <v>4.230259135110691E-3</v>
      </c>
      <c r="E27" s="259" cm="1">
        <f t="array" aca="1" ref="E27" ca="1">_xlfn.XLOOKUP(E$13,INDIRECT("'"&amp;$B27&amp;" EI'!$B$6:$B$53"),_xlfn.XLOOKUP($C$10,INDIRECT("'"&amp;$B27&amp;" EI'!$D$4:$Z$4"),INDIRECT("'"&amp;$B27&amp;" EI'!$D$6:$Z$53")))*_xlfn.XLOOKUP($B27&amp;E$15,'Gas Useage'!$A$4:$A$15&amp;'Gas Useage'!$B$4:$B$15,_xlfn.XLOOKUP($C27&amp;E$14,'Gas Useage'!$C$2:$AB$2&amp;'Gas Useage'!$C$3:$AB$3,'Gas Useage'!$C$4:$AB$15))/_xlfn.XLOOKUP($B27&amp;E$15,'Gas Useage'!$A$4:$A$15&amp;'Gas Useage'!$B$4:$B$15,_xlfn.XLOOKUP(E$14,'Gas Useage'!$AA$3:$AB$3,'Gas Useage'!$AA$4:$AB$15))</f>
        <v>1.9775012557180522E-3</v>
      </c>
      <c r="F27" s="259" cm="1">
        <f t="array" aca="1" ref="F27" ca="1">_xlfn.XLOOKUP(F$13,INDIRECT("'"&amp;$B27&amp;" EI'!$B$6:$B$53"),_xlfn.XLOOKUP($C$10,INDIRECT("'"&amp;$B27&amp;" EI'!$D$4:$Z$4"),INDIRECT("'"&amp;$B27&amp;" EI'!$D$6:$Z$53")))*_xlfn.XLOOKUP($B27&amp;F$15,'Gas Useage'!$A$4:$A$15&amp;'Gas Useage'!$B$4:$B$15,_xlfn.XLOOKUP($C27&amp;F$14,'Gas Useage'!$C$2:$AB$2&amp;'Gas Useage'!$C$3:$AB$3,'Gas Useage'!$C$4:$AB$15))/_xlfn.XLOOKUP($B27&amp;F$15,'Gas Useage'!$A$4:$A$15&amp;'Gas Useage'!$B$4:$B$15,_xlfn.XLOOKUP(F$14,'Gas Useage'!$AA$3:$AB$3,'Gas Useage'!$AA$4:$AB$15))</f>
        <v>6.4033799226236752E-3</v>
      </c>
      <c r="G27" s="259" cm="1">
        <f t="array" aca="1" ref="G27" ca="1">_xlfn.XLOOKUP(G$13,INDIRECT("'"&amp;$B27&amp;" EI'!$B$6:$B$53"),_xlfn.XLOOKUP($C$10,INDIRECT("'"&amp;$B27&amp;" EI'!$D$4:$Z$4"),INDIRECT("'"&amp;$B27&amp;" EI'!$D$6:$Z$53")))*_xlfn.XLOOKUP($B27&amp;G$15,'Gas Useage'!$A$4:$A$15&amp;'Gas Useage'!$B$4:$B$15,_xlfn.XLOOKUP($C27&amp;G$14,'Gas Useage'!$C$2:$AB$2&amp;'Gas Useage'!$C$3:$AB$3,'Gas Useage'!$C$4:$AB$15))/_xlfn.XLOOKUP($B27&amp;G$15,'Gas Useage'!$A$4:$A$15&amp;'Gas Useage'!$B$4:$B$15,_xlfn.XLOOKUP(G$14,'Gas Useage'!$AA$3:$AB$3,'Gas Useage'!$AA$4:$AB$15))</f>
        <v>2.9933607926590404E-3</v>
      </c>
      <c r="H27" s="260" t="s">
        <v>278</v>
      </c>
      <c r="I27" s="260" t="s">
        <v>278</v>
      </c>
      <c r="J27" s="260" t="s">
        <v>278</v>
      </c>
      <c r="K27" s="261" t="s">
        <v>278</v>
      </c>
      <c r="N27" s="258"/>
    </row>
    <row r="28" spans="2:14" ht="13.5" x14ac:dyDescent="0.25">
      <c r="B28" s="32">
        <v>2021</v>
      </c>
      <c r="C28" s="494" t="s">
        <v>277</v>
      </c>
      <c r="D28" s="259" cm="1">
        <f t="array" aca="1" ref="D28" ca="1">_xlfn.XLOOKUP(D$13,INDIRECT("'"&amp;$B28&amp;" EI'!$B$6:$B$53"),_xlfn.XLOOKUP($C$10,INDIRECT("'"&amp;$B28&amp;" EI'!$D$4:$Z$4"),INDIRECT("'"&amp;$B28&amp;" EI'!$D$6:$Z$53")))*_xlfn.XLOOKUP($B28&amp;D$15,'Gas Useage'!$A$4:$A$15&amp;'Gas Useage'!$B$4:$B$15,_xlfn.XLOOKUP($C28&amp;D$14,'Gas Useage'!$C$2:$AB$2&amp;'Gas Useage'!$C$3:$AB$3,'Gas Useage'!$C$4:$AB$15))/_xlfn.XLOOKUP($B28&amp;D$15,'Gas Useage'!$A$4:$A$15&amp;'Gas Useage'!$B$4:$B$15,_xlfn.XLOOKUP(D$14,'Gas Useage'!$AA$3:$AB$3,'Gas Useage'!$AA$4:$AB$15))</f>
        <v>6.1381175173738298E-3</v>
      </c>
      <c r="E28" s="259" cm="1">
        <f t="array" aca="1" ref="E28" ca="1">_xlfn.XLOOKUP(E$13,INDIRECT("'"&amp;$B28&amp;" EI'!$B$6:$B$53"),_xlfn.XLOOKUP($C$10,INDIRECT("'"&amp;$B28&amp;" EI'!$D$4:$Z$4"),INDIRECT("'"&amp;$B28&amp;" EI'!$D$6:$Z$53")))*_xlfn.XLOOKUP($B28&amp;E$15,'Gas Useage'!$A$4:$A$15&amp;'Gas Useage'!$B$4:$B$15,_xlfn.XLOOKUP($C28&amp;E$14,'Gas Useage'!$C$2:$AB$2&amp;'Gas Useage'!$C$3:$AB$3,'Gas Useage'!$C$4:$AB$15))/_xlfn.XLOOKUP($B28&amp;E$15,'Gas Useage'!$A$4:$A$15&amp;'Gas Useage'!$B$4:$B$15,_xlfn.XLOOKUP(E$14,'Gas Useage'!$AA$3:$AB$3,'Gas Useage'!$AA$4:$AB$15))</f>
        <v>9.4076362379165435E-4</v>
      </c>
      <c r="F28" s="259" cm="1">
        <f t="array" aca="1" ref="F28" ca="1">_xlfn.XLOOKUP(F$13,INDIRECT("'"&amp;$B28&amp;" EI'!$B$6:$B$53"),_xlfn.XLOOKUP($C$10,INDIRECT("'"&amp;$B28&amp;" EI'!$D$4:$Z$4"),INDIRECT("'"&amp;$B28&amp;" EI'!$D$6:$Z$53")))*_xlfn.XLOOKUP($B28&amp;F$15,'Gas Useage'!$A$4:$A$15&amp;'Gas Useage'!$B$4:$B$15,_xlfn.XLOOKUP($C28&amp;F$14,'Gas Useage'!$C$2:$AB$2&amp;'Gas Useage'!$C$3:$AB$3,'Gas Useage'!$C$4:$AB$15))/_xlfn.XLOOKUP($B28&amp;F$15,'Gas Useage'!$A$4:$A$15&amp;'Gas Useage'!$B$4:$B$15,_xlfn.XLOOKUP(F$14,'Gas Useage'!$AA$3:$AB$3,'Gas Useage'!$AA$4:$AB$15))</f>
        <v>7.6038850533285598E-3</v>
      </c>
      <c r="G28" s="259" cm="1">
        <f t="array" aca="1" ref="G28" ca="1">_xlfn.XLOOKUP(G$13,INDIRECT("'"&amp;$B28&amp;" EI'!$B$6:$B$53"),_xlfn.XLOOKUP($C$10,INDIRECT("'"&amp;$B28&amp;" EI'!$D$4:$Z$4"),INDIRECT("'"&amp;$B28&amp;" EI'!$D$6:$Z$53")))*_xlfn.XLOOKUP($B28&amp;G$15,'Gas Useage'!$A$4:$A$15&amp;'Gas Useage'!$B$4:$B$15,_xlfn.XLOOKUP($C28&amp;G$14,'Gas Useage'!$C$2:$AB$2&amp;'Gas Useage'!$C$3:$AB$3,'Gas Useage'!$C$4:$AB$15))/_xlfn.XLOOKUP($B28&amp;G$15,'Gas Useage'!$A$4:$A$15&amp;'Gas Useage'!$B$4:$B$15,_xlfn.XLOOKUP(G$14,'Gas Useage'!$AA$3:$AB$3,'Gas Useage'!$AA$4:$AB$15))</f>
        <v>1.1654156893244284E-3</v>
      </c>
      <c r="H28" s="260" t="s">
        <v>278</v>
      </c>
      <c r="I28" s="260" t="s">
        <v>278</v>
      </c>
      <c r="J28" s="260" t="s">
        <v>278</v>
      </c>
      <c r="K28" s="261" t="s">
        <v>278</v>
      </c>
      <c r="N28" s="258"/>
    </row>
    <row r="29" spans="2:14" ht="13.5" x14ac:dyDescent="0.25">
      <c r="B29" s="32">
        <v>2021</v>
      </c>
      <c r="C29" s="494" t="s">
        <v>279</v>
      </c>
      <c r="D29" s="259" cm="1">
        <f t="array" aca="1" ref="D29" ca="1">_xlfn.XLOOKUP(D$13,INDIRECT("'"&amp;$B29&amp;" EI'!$B$6:$B$53"),_xlfn.XLOOKUP($C$10,INDIRECT("'"&amp;$B29&amp;" EI'!$D$4:$Z$4"),INDIRECT("'"&amp;$B29&amp;" EI'!$D$6:$Z$53")))*_xlfn.XLOOKUP($B29&amp;D$15,'Gas Useage'!$A$4:$A$15&amp;'Gas Useage'!$B$4:$B$15,_xlfn.XLOOKUP($C29&amp;D$14,'Gas Useage'!$C$2:$AB$2&amp;'Gas Useage'!$C$3:$AB$3,'Gas Useage'!$C$4:$AB$15))/_xlfn.XLOOKUP($B29&amp;D$15,'Gas Useage'!$A$4:$A$15&amp;'Gas Useage'!$B$4:$B$15,_xlfn.XLOOKUP(D$14,'Gas Useage'!$AA$3:$AB$3,'Gas Useage'!$AA$4:$AB$15))</f>
        <v>4.165919474604575E-3</v>
      </c>
      <c r="E29" s="259" cm="1">
        <f t="array" aca="1" ref="E29" ca="1">_xlfn.XLOOKUP(E$13,INDIRECT("'"&amp;$B29&amp;" EI'!$B$6:$B$53"),_xlfn.XLOOKUP($C$10,INDIRECT("'"&amp;$B29&amp;" EI'!$D$4:$Z$4"),INDIRECT("'"&amp;$B29&amp;" EI'!$D$6:$Z$53")))*_xlfn.XLOOKUP($B29&amp;E$15,'Gas Useage'!$A$4:$A$15&amp;'Gas Useage'!$B$4:$B$15,_xlfn.XLOOKUP($C29&amp;E$14,'Gas Useage'!$C$2:$AB$2&amp;'Gas Useage'!$C$3:$AB$3,'Gas Useage'!$C$4:$AB$15))/_xlfn.XLOOKUP($B29&amp;E$15,'Gas Useage'!$A$4:$A$15&amp;'Gas Useage'!$B$4:$B$15,_xlfn.XLOOKUP(E$14,'Gas Useage'!$AA$3:$AB$3,'Gas Useage'!$AA$4:$AB$15))</f>
        <v>1.3611351210663437E-3</v>
      </c>
      <c r="F29" s="259" cm="1">
        <f t="array" aca="1" ref="F29" ca="1">_xlfn.XLOOKUP(F$13,INDIRECT("'"&amp;$B29&amp;" EI'!$B$6:$B$53"),_xlfn.XLOOKUP($C$10,INDIRECT("'"&amp;$B29&amp;" EI'!$D$4:$Z$4"),INDIRECT("'"&amp;$B29&amp;" EI'!$D$6:$Z$53")))*_xlfn.XLOOKUP($B29&amp;F$15,'Gas Useage'!$A$4:$A$15&amp;'Gas Useage'!$B$4:$B$15,_xlfn.XLOOKUP($C29&amp;F$14,'Gas Useage'!$C$2:$AB$2&amp;'Gas Useage'!$C$3:$AB$3,'Gas Useage'!$C$4:$AB$15))/_xlfn.XLOOKUP($B29&amp;F$15,'Gas Useage'!$A$4:$A$15&amp;'Gas Useage'!$B$4:$B$15,_xlfn.XLOOKUP(F$14,'Gas Useage'!$AA$3:$AB$3,'Gas Useage'!$AA$4:$AB$15))</f>
        <v>5.7121841195539808E-3</v>
      </c>
      <c r="G29" s="259" cm="1">
        <f t="array" aca="1" ref="G29" ca="1">_xlfn.XLOOKUP(G$13,INDIRECT("'"&amp;$B29&amp;" EI'!$B$6:$B$53"),_xlfn.XLOOKUP($C$10,INDIRECT("'"&amp;$B29&amp;" EI'!$D$4:$Z$4"),INDIRECT("'"&amp;$B29&amp;" EI'!$D$6:$Z$53")))*_xlfn.XLOOKUP($B29&amp;G$15,'Gas Useage'!$A$4:$A$15&amp;'Gas Useage'!$B$4:$B$15,_xlfn.XLOOKUP($C29&amp;G$14,'Gas Useage'!$C$2:$AB$2&amp;'Gas Useage'!$C$3:$AB$3,'Gas Useage'!$C$4:$AB$15))/_xlfn.XLOOKUP($B29&amp;G$15,'Gas Useage'!$A$4:$A$15&amp;'Gas Useage'!$B$4:$B$15,_xlfn.XLOOKUP(G$14,'Gas Useage'!$AA$3:$AB$3,'Gas Useage'!$AA$4:$AB$15))</f>
        <v>1.8663477464024561E-3</v>
      </c>
      <c r="H29" s="260" t="s">
        <v>278</v>
      </c>
      <c r="I29" s="260" t="s">
        <v>278</v>
      </c>
      <c r="J29" s="260" t="s">
        <v>278</v>
      </c>
      <c r="K29" s="261" t="s">
        <v>278</v>
      </c>
      <c r="N29" s="258"/>
    </row>
    <row r="30" spans="2:14" ht="13.5" x14ac:dyDescent="0.25">
      <c r="B30" s="32">
        <v>2021</v>
      </c>
      <c r="C30" s="494" t="s">
        <v>280</v>
      </c>
      <c r="D30" s="259" cm="1">
        <f t="array" aca="1" ref="D30" ca="1">_xlfn.XLOOKUP(D$13,INDIRECT("'"&amp;$B30&amp;" EI'!$B$6:$B$53"),_xlfn.XLOOKUP($C$10,INDIRECT("'"&amp;$B30&amp;" EI'!$D$4:$Z$4"),INDIRECT("'"&amp;$B30&amp;" EI'!$D$6:$Z$53")))*_xlfn.XLOOKUP($B30&amp;D$15,'Gas Useage'!$A$4:$A$15&amp;'Gas Useage'!$B$4:$B$15,_xlfn.XLOOKUP($C30&amp;D$14,'Gas Useage'!$C$2:$AB$2&amp;'Gas Useage'!$C$3:$AB$3,'Gas Useage'!$C$4:$AB$15))/_xlfn.XLOOKUP($B30&amp;D$15,'Gas Useage'!$A$4:$A$15&amp;'Gas Useage'!$B$4:$B$15,_xlfn.XLOOKUP(D$14,'Gas Useage'!$AA$3:$AB$3,'Gas Useage'!$AA$4:$AB$15))</f>
        <v>8.7076054018166479E-3</v>
      </c>
      <c r="E30" s="259" cm="1">
        <f t="array" aca="1" ref="E30" ca="1">_xlfn.XLOOKUP(E$13,INDIRECT("'"&amp;$B30&amp;" EI'!$B$6:$B$53"),_xlfn.XLOOKUP($C$10,INDIRECT("'"&amp;$B30&amp;" EI'!$D$4:$Z$4"),INDIRECT("'"&amp;$B30&amp;" EI'!$D$6:$Z$53")))*_xlfn.XLOOKUP($B30&amp;E$15,'Gas Useage'!$A$4:$A$15&amp;'Gas Useage'!$B$4:$B$15,_xlfn.XLOOKUP($C30&amp;E$14,'Gas Useage'!$C$2:$AB$2&amp;'Gas Useage'!$C$3:$AB$3,'Gas Useage'!$C$4:$AB$15))/_xlfn.XLOOKUP($B30&amp;E$15,'Gas Useage'!$A$4:$A$15&amp;'Gas Useage'!$B$4:$B$15,_xlfn.XLOOKUP(E$14,'Gas Useage'!$AA$3:$AB$3,'Gas Useage'!$AA$4:$AB$15))</f>
        <v>2.2244073459910612E-3</v>
      </c>
      <c r="F30" s="259" cm="1">
        <f t="array" aca="1" ref="F30" ca="1">_xlfn.XLOOKUP(F$13,INDIRECT("'"&amp;$B30&amp;" EI'!$B$6:$B$53"),_xlfn.XLOOKUP($C$10,INDIRECT("'"&amp;$B30&amp;" EI'!$D$4:$Z$4"),INDIRECT("'"&amp;$B30&amp;" EI'!$D$6:$Z$53")))*_xlfn.XLOOKUP($B30&amp;F$15,'Gas Useage'!$A$4:$A$15&amp;'Gas Useage'!$B$4:$B$15,_xlfn.XLOOKUP($C30&amp;F$14,'Gas Useage'!$C$2:$AB$2&amp;'Gas Useage'!$C$3:$AB$3,'Gas Useage'!$C$4:$AB$15))/_xlfn.XLOOKUP($B30&amp;F$15,'Gas Useage'!$A$4:$A$15&amp;'Gas Useage'!$B$4:$B$15,_xlfn.XLOOKUP(F$14,'Gas Useage'!$AA$3:$AB$3,'Gas Useage'!$AA$4:$AB$15))</f>
        <v>6.0173788131905499E-3</v>
      </c>
      <c r="G30" s="259" cm="1">
        <f t="array" aca="1" ref="G30" ca="1">_xlfn.XLOOKUP(G$13,INDIRECT("'"&amp;$B30&amp;" EI'!$B$6:$B$53"),_xlfn.XLOOKUP($C$10,INDIRECT("'"&amp;$B30&amp;" EI'!$D$4:$Z$4"),INDIRECT("'"&amp;$B30&amp;" EI'!$D$6:$Z$53")))*_xlfn.XLOOKUP($B30&amp;G$15,'Gas Useage'!$A$4:$A$15&amp;'Gas Useage'!$B$4:$B$15,_xlfn.XLOOKUP($C30&amp;G$14,'Gas Useage'!$C$2:$AB$2&amp;'Gas Useage'!$C$3:$AB$3,'Gas Useage'!$C$4:$AB$15))/_xlfn.XLOOKUP($B30&amp;G$15,'Gas Useage'!$A$4:$A$15&amp;'Gas Useage'!$B$4:$B$15,_xlfn.XLOOKUP(G$14,'Gas Useage'!$AA$3:$AB$3,'Gas Useage'!$AA$4:$AB$15))</f>
        <v>1.5371736565921467E-3</v>
      </c>
      <c r="H30" s="260" t="s">
        <v>278</v>
      </c>
      <c r="I30" s="260" t="s">
        <v>278</v>
      </c>
      <c r="J30" s="260" t="s">
        <v>278</v>
      </c>
      <c r="K30" s="261" t="s">
        <v>278</v>
      </c>
      <c r="N30" s="258"/>
    </row>
    <row r="31" spans="2:14" ht="13.5" x14ac:dyDescent="0.25">
      <c r="B31" s="32">
        <v>2021</v>
      </c>
      <c r="C31" s="494" t="s">
        <v>281</v>
      </c>
      <c r="D31" s="259" cm="1">
        <f t="array" aca="1" ref="D31" ca="1">_xlfn.XLOOKUP(D$13,INDIRECT("'"&amp;$B31&amp;" EI'!$B$6:$B$53"),_xlfn.XLOOKUP($C$10,INDIRECT("'"&amp;$B31&amp;" EI'!$D$4:$Z$4"),INDIRECT("'"&amp;$B31&amp;" EI'!$D$6:$Z$53")))*_xlfn.XLOOKUP($B31&amp;D$15,'Gas Useage'!$A$4:$A$15&amp;'Gas Useage'!$B$4:$B$15,_xlfn.XLOOKUP($C31&amp;D$14,'Gas Useage'!$C$2:$AB$2&amp;'Gas Useage'!$C$3:$AB$3,'Gas Useage'!$C$4:$AB$15))/_xlfn.XLOOKUP($B31&amp;D$15,'Gas Useage'!$A$4:$A$15&amp;'Gas Useage'!$B$4:$B$15,_xlfn.XLOOKUP(D$14,'Gas Useage'!$AA$3:$AB$3,'Gas Useage'!$AA$4:$AB$15))</f>
        <v>3.907662328642824E-3</v>
      </c>
      <c r="E31" s="259" cm="1">
        <f t="array" aca="1" ref="E31" ca="1">_xlfn.XLOOKUP(E$13,INDIRECT("'"&amp;$B31&amp;" EI'!$B$6:$B$53"),_xlfn.XLOOKUP($C$10,INDIRECT("'"&amp;$B31&amp;" EI'!$D$4:$Z$4"),INDIRECT("'"&amp;$B31&amp;" EI'!$D$6:$Z$53")))*_xlfn.XLOOKUP($B31&amp;E$15,'Gas Useage'!$A$4:$A$15&amp;'Gas Useage'!$B$4:$B$15,_xlfn.XLOOKUP($C31&amp;E$14,'Gas Useage'!$C$2:$AB$2&amp;'Gas Useage'!$C$3:$AB$3,'Gas Useage'!$C$4:$AB$15))/_xlfn.XLOOKUP($B31&amp;E$15,'Gas Useage'!$A$4:$A$15&amp;'Gas Useage'!$B$4:$B$15,_xlfn.XLOOKUP(E$14,'Gas Useage'!$AA$3:$AB$3,'Gas Useage'!$AA$4:$AB$15))</f>
        <v>8.1715571786045941E-4</v>
      </c>
      <c r="F31" s="259" cm="1">
        <f t="array" aca="1" ref="F31" ca="1">_xlfn.XLOOKUP(F$13,INDIRECT("'"&amp;$B31&amp;" EI'!$B$6:$B$53"),_xlfn.XLOOKUP($C$10,INDIRECT("'"&amp;$B31&amp;" EI'!$D$4:$Z$4"),INDIRECT("'"&amp;$B31&amp;" EI'!$D$6:$Z$53")))*_xlfn.XLOOKUP($B31&amp;F$15,'Gas Useage'!$A$4:$A$15&amp;'Gas Useage'!$B$4:$B$15,_xlfn.XLOOKUP($C31&amp;F$14,'Gas Useage'!$C$2:$AB$2&amp;'Gas Useage'!$C$3:$AB$3,'Gas Useage'!$C$4:$AB$15))/_xlfn.XLOOKUP($B31&amp;F$15,'Gas Useage'!$A$4:$A$15&amp;'Gas Useage'!$B$4:$B$15,_xlfn.XLOOKUP(F$14,'Gas Useage'!$AA$3:$AB$3,'Gas Useage'!$AA$4:$AB$15))</f>
        <v>5.7207881563114396E-3</v>
      </c>
      <c r="G31" s="259" cm="1">
        <f t="array" aca="1" ref="G31" ca="1">_xlfn.XLOOKUP(G$13,INDIRECT("'"&amp;$B31&amp;" EI'!$B$6:$B$53"),_xlfn.XLOOKUP($C$10,INDIRECT("'"&amp;$B31&amp;" EI'!$D$4:$Z$4"),INDIRECT("'"&amp;$B31&amp;" EI'!$D$6:$Z$53")))*_xlfn.XLOOKUP($B31&amp;G$15,'Gas Useage'!$A$4:$A$15&amp;'Gas Useage'!$B$4:$B$15,_xlfn.XLOOKUP($C31&amp;G$14,'Gas Useage'!$C$2:$AB$2&amp;'Gas Useage'!$C$3:$AB$3,'Gas Useage'!$C$4:$AB$15))/_xlfn.XLOOKUP($B31&amp;G$15,'Gas Useage'!$A$4:$A$15&amp;'Gas Useage'!$B$4:$B$15,_xlfn.XLOOKUP(G$14,'Gas Useage'!$AA$3:$AB$3,'Gas Useage'!$AA$4:$AB$15))</f>
        <v>1.1963098035192537E-3</v>
      </c>
      <c r="H31" s="260" t="s">
        <v>278</v>
      </c>
      <c r="I31" s="260" t="s">
        <v>278</v>
      </c>
      <c r="J31" s="260" t="s">
        <v>278</v>
      </c>
      <c r="K31" s="261" t="s">
        <v>278</v>
      </c>
      <c r="N31" s="258"/>
    </row>
    <row r="32" spans="2:14" ht="13.5" x14ac:dyDescent="0.25">
      <c r="B32" s="32">
        <v>2021</v>
      </c>
      <c r="C32" s="494" t="s">
        <v>282</v>
      </c>
      <c r="D32" s="259" cm="1">
        <f t="array" aca="1" ref="D32" ca="1">_xlfn.XLOOKUP(D$13,INDIRECT("'"&amp;$B32&amp;" EI'!$B$6:$B$53"),_xlfn.XLOOKUP($C$10,INDIRECT("'"&amp;$B32&amp;" EI'!$D$4:$Z$4"),INDIRECT("'"&amp;$B32&amp;" EI'!$D$6:$Z$53")))*_xlfn.XLOOKUP($B32&amp;D$15,'Gas Useage'!$A$4:$A$15&amp;'Gas Useage'!$B$4:$B$15,_xlfn.XLOOKUP($C32&amp;D$14,'Gas Useage'!$C$2:$AB$2&amp;'Gas Useage'!$C$3:$AB$3,'Gas Useage'!$C$4:$AB$15))/_xlfn.XLOOKUP($B32&amp;D$15,'Gas Useage'!$A$4:$A$15&amp;'Gas Useage'!$B$4:$B$15,_xlfn.XLOOKUP(D$14,'Gas Useage'!$AA$3:$AB$3,'Gas Useage'!$AA$4:$AB$15))</f>
        <v>2.8537228027085576E-3</v>
      </c>
      <c r="E32" s="259" cm="1">
        <f t="array" aca="1" ref="E32" ca="1">_xlfn.XLOOKUP(E$13,INDIRECT("'"&amp;$B32&amp;" EI'!$B$6:$B$53"),_xlfn.XLOOKUP($C$10,INDIRECT("'"&amp;$B32&amp;" EI'!$D$4:$Z$4"),INDIRECT("'"&amp;$B32&amp;" EI'!$D$6:$Z$53")))*_xlfn.XLOOKUP($B32&amp;E$15,'Gas Useage'!$A$4:$A$15&amp;'Gas Useage'!$B$4:$B$15,_xlfn.XLOOKUP($C32&amp;E$14,'Gas Useage'!$C$2:$AB$2&amp;'Gas Useage'!$C$3:$AB$3,'Gas Useage'!$C$4:$AB$15))/_xlfn.XLOOKUP($B32&amp;E$15,'Gas Useage'!$A$4:$A$15&amp;'Gas Useage'!$B$4:$B$15,_xlfn.XLOOKUP(E$14,'Gas Useage'!$AA$3:$AB$3,'Gas Useage'!$AA$4:$AB$15))</f>
        <v>5.3751191357026681E-4</v>
      </c>
      <c r="F32" s="259" cm="1">
        <f t="array" aca="1" ref="F32" ca="1">_xlfn.XLOOKUP(F$13,INDIRECT("'"&amp;$B32&amp;" EI'!$B$6:$B$53"),_xlfn.XLOOKUP($C$10,INDIRECT("'"&amp;$B32&amp;" EI'!$D$4:$Z$4"),INDIRECT("'"&amp;$B32&amp;" EI'!$D$6:$Z$53")))*_xlfn.XLOOKUP($B32&amp;F$15,'Gas Useage'!$A$4:$A$15&amp;'Gas Useage'!$B$4:$B$15,_xlfn.XLOOKUP($C32&amp;F$14,'Gas Useage'!$C$2:$AB$2&amp;'Gas Useage'!$C$3:$AB$3,'Gas Useage'!$C$4:$AB$15))/_xlfn.XLOOKUP($B32&amp;F$15,'Gas Useage'!$A$4:$A$15&amp;'Gas Useage'!$B$4:$B$15,_xlfn.XLOOKUP(F$14,'Gas Useage'!$AA$3:$AB$3,'Gas Useage'!$AA$4:$AB$15))</f>
        <v>5.5057118469181111E-3</v>
      </c>
      <c r="G32" s="259" cm="1">
        <f t="array" aca="1" ref="G32" ca="1">_xlfn.XLOOKUP(G$13,INDIRECT("'"&amp;$B32&amp;" EI'!$B$6:$B$53"),_xlfn.XLOOKUP($C$10,INDIRECT("'"&amp;$B32&amp;" EI'!$D$4:$Z$4"),INDIRECT("'"&amp;$B32&amp;" EI'!$D$6:$Z$53")))*_xlfn.XLOOKUP($B32&amp;G$15,'Gas Useage'!$A$4:$A$15&amp;'Gas Useage'!$B$4:$B$15,_xlfn.XLOOKUP($C32&amp;G$14,'Gas Useage'!$C$2:$AB$2&amp;'Gas Useage'!$C$3:$AB$3,'Gas Useage'!$C$4:$AB$15))/_xlfn.XLOOKUP($B32&amp;G$15,'Gas Useage'!$A$4:$A$15&amp;'Gas Useage'!$B$4:$B$15,_xlfn.XLOOKUP(G$14,'Gas Useage'!$AA$3:$AB$3,'Gas Useage'!$AA$4:$AB$15))</f>
        <v>1.0370263389263301E-3</v>
      </c>
      <c r="H32" s="260" t="s">
        <v>278</v>
      </c>
      <c r="I32" s="260" t="s">
        <v>278</v>
      </c>
      <c r="J32" s="260" t="s">
        <v>278</v>
      </c>
      <c r="K32" s="261" t="s">
        <v>278</v>
      </c>
      <c r="N32" s="258"/>
    </row>
    <row r="33" spans="2:14" ht="13.5" x14ac:dyDescent="0.25">
      <c r="B33" s="32">
        <v>2021</v>
      </c>
      <c r="C33" s="494" t="s">
        <v>283</v>
      </c>
      <c r="D33" s="259" cm="1">
        <f t="array" aca="1" ref="D33" ca="1">_xlfn.XLOOKUP(D$13,INDIRECT("'"&amp;$B33&amp;" EI'!$B$6:$B$53"),_xlfn.XLOOKUP($C$10,INDIRECT("'"&amp;$B33&amp;" EI'!$D$4:$Z$4"),INDIRECT("'"&amp;$B33&amp;" EI'!$D$6:$Z$53")))*_xlfn.XLOOKUP($B33&amp;D$15,'Gas Useage'!$A$4:$A$15&amp;'Gas Useage'!$B$4:$B$15,_xlfn.XLOOKUP($C33&amp;D$14,'Gas Useage'!$C$2:$AB$2&amp;'Gas Useage'!$C$3:$AB$3,'Gas Useage'!$C$4:$AB$15))/_xlfn.XLOOKUP($B33&amp;D$15,'Gas Useage'!$A$4:$A$15&amp;'Gas Useage'!$B$4:$B$15,_xlfn.XLOOKUP(D$14,'Gas Useage'!$AA$3:$AB$3,'Gas Useage'!$AA$4:$AB$15))</f>
        <v>1.2953158931316114E-3</v>
      </c>
      <c r="E33" s="259" cm="1">
        <f t="array" aca="1" ref="E33" ca="1">_xlfn.XLOOKUP(E$13,INDIRECT("'"&amp;$B33&amp;" EI'!$B$6:$B$53"),_xlfn.XLOOKUP($C$10,INDIRECT("'"&amp;$B33&amp;" EI'!$D$4:$Z$4"),INDIRECT("'"&amp;$B33&amp;" EI'!$D$6:$Z$53")))*_xlfn.XLOOKUP($B33&amp;E$15,'Gas Useage'!$A$4:$A$15&amp;'Gas Useage'!$B$4:$B$15,_xlfn.XLOOKUP($C33&amp;E$14,'Gas Useage'!$C$2:$AB$2&amp;'Gas Useage'!$C$3:$AB$3,'Gas Useage'!$C$4:$AB$15))/_xlfn.XLOOKUP($B33&amp;E$15,'Gas Useage'!$A$4:$A$15&amp;'Gas Useage'!$B$4:$B$15,_xlfn.XLOOKUP(E$14,'Gas Useage'!$AA$3:$AB$3,'Gas Useage'!$AA$4:$AB$15))</f>
        <v>1.8529851609377522E-4</v>
      </c>
      <c r="F33" s="259" cm="1">
        <f t="array" aca="1" ref="F33" ca="1">_xlfn.XLOOKUP(F$13,INDIRECT("'"&amp;$B33&amp;" EI'!$B$6:$B$53"),_xlfn.XLOOKUP($C$10,INDIRECT("'"&amp;$B33&amp;" EI'!$D$4:$Z$4"),INDIRECT("'"&amp;$B33&amp;" EI'!$D$6:$Z$53")))*_xlfn.XLOOKUP($B33&amp;F$15,'Gas Useage'!$A$4:$A$15&amp;'Gas Useage'!$B$4:$B$15,_xlfn.XLOOKUP($C33&amp;F$14,'Gas Useage'!$C$2:$AB$2&amp;'Gas Useage'!$C$3:$AB$3,'Gas Useage'!$C$4:$AB$15))/_xlfn.XLOOKUP($B33&amp;F$15,'Gas Useage'!$A$4:$A$15&amp;'Gas Useage'!$B$4:$B$15,_xlfn.XLOOKUP(F$14,'Gas Useage'!$AA$3:$AB$3,'Gas Useage'!$AA$4:$AB$15))</f>
        <v>2.6241661218787257E-3</v>
      </c>
      <c r="G33" s="259" cm="1">
        <f t="array" aca="1" ref="G33" ca="1">_xlfn.XLOOKUP(G$13,INDIRECT("'"&amp;$B33&amp;" EI'!$B$6:$B$53"),_xlfn.XLOOKUP($C$10,INDIRECT("'"&amp;$B33&amp;" EI'!$D$4:$Z$4"),INDIRECT("'"&amp;$B33&amp;" EI'!$D$6:$Z$53")))*_xlfn.XLOOKUP($B33&amp;G$15,'Gas Useage'!$A$4:$A$15&amp;'Gas Useage'!$B$4:$B$15,_xlfn.XLOOKUP($C33&amp;G$14,'Gas Useage'!$C$2:$AB$2&amp;'Gas Useage'!$C$3:$AB$3,'Gas Useage'!$C$4:$AB$15))/_xlfn.XLOOKUP($B33&amp;G$15,'Gas Useage'!$A$4:$A$15&amp;'Gas Useage'!$B$4:$B$15,_xlfn.XLOOKUP(G$14,'Gas Useage'!$AA$3:$AB$3,'Gas Useage'!$AA$4:$AB$15))</f>
        <v>3.753942115170809E-4</v>
      </c>
      <c r="H33" s="260" t="s">
        <v>278</v>
      </c>
      <c r="I33" s="260" t="s">
        <v>278</v>
      </c>
      <c r="J33" s="260" t="s">
        <v>278</v>
      </c>
      <c r="K33" s="261" t="s">
        <v>278</v>
      </c>
      <c r="N33" s="258"/>
    </row>
    <row r="34" spans="2:14" ht="13.5" x14ac:dyDescent="0.25">
      <c r="B34" s="32">
        <v>2021</v>
      </c>
      <c r="C34" s="494" t="s">
        <v>284</v>
      </c>
      <c r="D34" s="259" cm="1">
        <f t="array" aca="1" ref="D34" ca="1">_xlfn.XLOOKUP(D$13,INDIRECT("'"&amp;$B34&amp;" EI'!$B$6:$B$53"),_xlfn.XLOOKUP($C$10,INDIRECT("'"&amp;$B34&amp;" EI'!$D$4:$Z$4"),INDIRECT("'"&amp;$B34&amp;" EI'!$D$6:$Z$53")))*_xlfn.XLOOKUP($B34&amp;D$15,'Gas Useage'!$A$4:$A$15&amp;'Gas Useage'!$B$4:$B$15,_xlfn.XLOOKUP($C34&amp;D$14,'Gas Useage'!$C$2:$AB$2&amp;'Gas Useage'!$C$3:$AB$3,'Gas Useage'!$C$4:$AB$15))/_xlfn.XLOOKUP($B34&amp;D$15,'Gas Useage'!$A$4:$A$15&amp;'Gas Useage'!$B$4:$B$15,_xlfn.XLOOKUP(D$14,'Gas Useage'!$AA$3:$AB$3,'Gas Useage'!$AA$4:$AB$15))</f>
        <v>2.8962321310014708E-3</v>
      </c>
      <c r="E34" s="259" cm="1">
        <f t="array" aca="1" ref="E34" ca="1">_xlfn.XLOOKUP(E$13,INDIRECT("'"&amp;$B34&amp;" EI'!$B$6:$B$53"),_xlfn.XLOOKUP($C$10,INDIRECT("'"&amp;$B34&amp;" EI'!$D$4:$Z$4"),INDIRECT("'"&amp;$B34&amp;" EI'!$D$6:$Z$53")))*_xlfn.XLOOKUP($B34&amp;E$15,'Gas Useage'!$A$4:$A$15&amp;'Gas Useage'!$B$4:$B$15,_xlfn.XLOOKUP($C34&amp;E$14,'Gas Useage'!$C$2:$AB$2&amp;'Gas Useage'!$C$3:$AB$3,'Gas Useage'!$C$4:$AB$15))/_xlfn.XLOOKUP($B34&amp;E$15,'Gas Useage'!$A$4:$A$15&amp;'Gas Useage'!$B$4:$B$15,_xlfn.XLOOKUP(E$14,'Gas Useage'!$AA$3:$AB$3,'Gas Useage'!$AA$4:$AB$15))</f>
        <v>3.1165010461726972E-4</v>
      </c>
      <c r="F34" s="259" cm="1">
        <f t="array" aca="1" ref="F34" ca="1">_xlfn.XLOOKUP(F$13,INDIRECT("'"&amp;$B34&amp;" EI'!$B$6:$B$53"),_xlfn.XLOOKUP($C$10,INDIRECT("'"&amp;$B34&amp;" EI'!$D$4:$Z$4"),INDIRECT("'"&amp;$B34&amp;" EI'!$D$6:$Z$53")))*_xlfn.XLOOKUP($B34&amp;F$15,'Gas Useage'!$A$4:$A$15&amp;'Gas Useage'!$B$4:$B$15,_xlfn.XLOOKUP($C34&amp;F$14,'Gas Useage'!$C$2:$AB$2&amp;'Gas Useage'!$C$3:$AB$3,'Gas Useage'!$C$4:$AB$15))/_xlfn.XLOOKUP($B34&amp;F$15,'Gas Useage'!$A$4:$A$15&amp;'Gas Useage'!$B$4:$B$15,_xlfn.XLOOKUP(F$14,'Gas Useage'!$AA$3:$AB$3,'Gas Useage'!$AA$4:$AB$15))</f>
        <v>3.2356745140595341E-3</v>
      </c>
      <c r="G34" s="259" cm="1">
        <f t="array" aca="1" ref="G34" ca="1">_xlfn.XLOOKUP(G$13,INDIRECT("'"&amp;$B34&amp;" EI'!$B$6:$B$53"),_xlfn.XLOOKUP($C$10,INDIRECT("'"&amp;$B34&amp;" EI'!$D$4:$Z$4"),INDIRECT("'"&amp;$B34&amp;" EI'!$D$6:$Z$53")))*_xlfn.XLOOKUP($B34&amp;G$15,'Gas Useage'!$A$4:$A$15&amp;'Gas Useage'!$B$4:$B$15,_xlfn.XLOOKUP($C34&amp;G$14,'Gas Useage'!$C$2:$AB$2&amp;'Gas Useage'!$C$3:$AB$3,'Gas Useage'!$C$4:$AB$15))/_xlfn.XLOOKUP($B34&amp;G$15,'Gas Useage'!$A$4:$A$15&amp;'Gas Useage'!$B$4:$B$15,_xlfn.XLOOKUP(G$14,'Gas Useage'!$AA$3:$AB$3,'Gas Useage'!$AA$4:$AB$15))</f>
        <v>3.481759248577216E-4</v>
      </c>
      <c r="H34" s="260" t="s">
        <v>278</v>
      </c>
      <c r="I34" s="260" t="s">
        <v>278</v>
      </c>
      <c r="J34" s="260" t="s">
        <v>278</v>
      </c>
      <c r="K34" s="261" t="s">
        <v>278</v>
      </c>
      <c r="N34" s="258"/>
    </row>
    <row r="35" spans="2:14" ht="13.5" x14ac:dyDescent="0.25">
      <c r="B35" s="32">
        <v>2021</v>
      </c>
      <c r="C35" s="494" t="s">
        <v>285</v>
      </c>
      <c r="D35" s="259" cm="1">
        <f t="array" aca="1" ref="D35" ca="1">_xlfn.XLOOKUP(D$13,INDIRECT("'"&amp;$B35&amp;" EI'!$B$6:$B$53"),_xlfn.XLOOKUP($C$10,INDIRECT("'"&amp;$B35&amp;" EI'!$D$4:$Z$4"),INDIRECT("'"&amp;$B35&amp;" EI'!$D$6:$Z$53")))*_xlfn.XLOOKUP($B35&amp;D$15,'Gas Useage'!$A$4:$A$15&amp;'Gas Useage'!$B$4:$B$15,_xlfn.XLOOKUP($C35&amp;D$14,'Gas Useage'!$C$2:$AB$2&amp;'Gas Useage'!$C$3:$AB$3,'Gas Useage'!$C$4:$AB$15))/_xlfn.XLOOKUP($B35&amp;D$15,'Gas Useage'!$A$4:$A$15&amp;'Gas Useage'!$B$4:$B$15,_xlfn.XLOOKUP(D$14,'Gas Useage'!$AA$3:$AB$3,'Gas Useage'!$AA$4:$AB$15))</f>
        <v>3.4917160925552076E-3</v>
      </c>
      <c r="E35" s="259" cm="1">
        <f t="array" aca="1" ref="E35" ca="1">_xlfn.XLOOKUP(E$13,INDIRECT("'"&amp;$B35&amp;" EI'!$B$6:$B$53"),_xlfn.XLOOKUP($C$10,INDIRECT("'"&amp;$B35&amp;" EI'!$D$4:$Z$4"),INDIRECT("'"&amp;$B35&amp;" EI'!$D$6:$Z$53")))*_xlfn.XLOOKUP($B35&amp;E$15,'Gas Useage'!$A$4:$A$15&amp;'Gas Useage'!$B$4:$B$15,_xlfn.XLOOKUP($C35&amp;E$14,'Gas Useage'!$C$2:$AB$2&amp;'Gas Useage'!$C$3:$AB$3,'Gas Useage'!$C$4:$AB$15))/_xlfn.XLOOKUP($B35&amp;E$15,'Gas Useage'!$A$4:$A$15&amp;'Gas Useage'!$B$4:$B$15,_xlfn.XLOOKUP(E$14,'Gas Useage'!$AA$3:$AB$3,'Gas Useage'!$AA$4:$AB$15))</f>
        <v>1.0418435328345356E-3</v>
      </c>
      <c r="F35" s="259" cm="1">
        <f t="array" aca="1" ref="F35" ca="1">_xlfn.XLOOKUP(F$13,INDIRECT("'"&amp;$B35&amp;" EI'!$B$6:$B$53"),_xlfn.XLOOKUP($C$10,INDIRECT("'"&amp;$B35&amp;" EI'!$D$4:$Z$4"),INDIRECT("'"&amp;$B35&amp;" EI'!$D$6:$Z$53")))*_xlfn.XLOOKUP($B35&amp;F$15,'Gas Useage'!$A$4:$A$15&amp;'Gas Useage'!$B$4:$B$15,_xlfn.XLOOKUP($C35&amp;F$14,'Gas Useage'!$C$2:$AB$2&amp;'Gas Useage'!$C$3:$AB$3,'Gas Useage'!$C$4:$AB$15))/_xlfn.XLOOKUP($B35&amp;F$15,'Gas Useage'!$A$4:$A$15&amp;'Gas Useage'!$B$4:$B$15,_xlfn.XLOOKUP(F$14,'Gas Useage'!$AA$3:$AB$3,'Gas Useage'!$AA$4:$AB$15))</f>
        <v>2.9779679785683542E-3</v>
      </c>
      <c r="G35" s="259" cm="1">
        <f t="array" aca="1" ref="G35" ca="1">_xlfn.XLOOKUP(G$13,INDIRECT("'"&amp;$B35&amp;" EI'!$B$6:$B$53"),_xlfn.XLOOKUP($C$10,INDIRECT("'"&amp;$B35&amp;" EI'!$D$4:$Z$4"),INDIRECT("'"&amp;$B35&amp;" EI'!$D$6:$Z$53")))*_xlfn.XLOOKUP($B35&amp;G$15,'Gas Useage'!$A$4:$A$15&amp;'Gas Useage'!$B$4:$B$15,_xlfn.XLOOKUP($C35&amp;G$14,'Gas Useage'!$C$2:$AB$2&amp;'Gas Useage'!$C$3:$AB$3,'Gas Useage'!$C$4:$AB$15))/_xlfn.XLOOKUP($B35&amp;G$15,'Gas Useage'!$A$4:$A$15&amp;'Gas Useage'!$B$4:$B$15,_xlfn.XLOOKUP(G$14,'Gas Useage'!$AA$3:$AB$3,'Gas Useage'!$AA$4:$AB$15))</f>
        <v>8.8855353563105268E-4</v>
      </c>
      <c r="H35" s="260" t="s">
        <v>278</v>
      </c>
      <c r="I35" s="260" t="s">
        <v>278</v>
      </c>
      <c r="J35" s="260" t="s">
        <v>278</v>
      </c>
      <c r="K35" s="261" t="s">
        <v>278</v>
      </c>
      <c r="N35" s="258"/>
    </row>
    <row r="36" spans="2:14" ht="13.5" x14ac:dyDescent="0.25">
      <c r="B36" s="32">
        <v>2021</v>
      </c>
      <c r="C36" s="494" t="s">
        <v>286</v>
      </c>
      <c r="D36" s="259" cm="1">
        <f t="array" aca="1" ref="D36" ca="1">_xlfn.XLOOKUP(D$13,INDIRECT("'"&amp;$B36&amp;" EI'!$B$6:$B$53"),_xlfn.XLOOKUP($C$10,INDIRECT("'"&amp;$B36&amp;" EI'!$D$4:$Z$4"),INDIRECT("'"&amp;$B36&amp;" EI'!$D$6:$Z$53")))*_xlfn.XLOOKUP($B36&amp;D$15,'Gas Useage'!$A$4:$A$15&amp;'Gas Useage'!$B$4:$B$15,_xlfn.XLOOKUP($C36&amp;D$14,'Gas Useage'!$C$2:$AB$2&amp;'Gas Useage'!$C$3:$AB$3,'Gas Useage'!$C$4:$AB$15))/_xlfn.XLOOKUP($B36&amp;D$15,'Gas Useage'!$A$4:$A$15&amp;'Gas Useage'!$B$4:$B$15,_xlfn.XLOOKUP(D$14,'Gas Useage'!$AA$3:$AB$3,'Gas Useage'!$AA$4:$AB$15))</f>
        <v>2.0892092564915614E-3</v>
      </c>
      <c r="E36" s="259" cm="1">
        <f t="array" aca="1" ref="E36" ca="1">_xlfn.XLOOKUP(E$13,INDIRECT("'"&amp;$B36&amp;" EI'!$B$6:$B$53"),_xlfn.XLOOKUP($C$10,INDIRECT("'"&amp;$B36&amp;" EI'!$D$4:$Z$4"),INDIRECT("'"&amp;$B36&amp;" EI'!$D$6:$Z$53")))*_xlfn.XLOOKUP($B36&amp;E$15,'Gas Useage'!$A$4:$A$15&amp;'Gas Useage'!$B$4:$B$15,_xlfn.XLOOKUP($C36&amp;E$14,'Gas Useage'!$C$2:$AB$2&amp;'Gas Useage'!$C$3:$AB$3,'Gas Useage'!$C$4:$AB$15))/_xlfn.XLOOKUP($B36&amp;E$15,'Gas Useage'!$A$4:$A$15&amp;'Gas Useage'!$B$4:$B$15,_xlfn.XLOOKUP(E$14,'Gas Useage'!$AA$3:$AB$3,'Gas Useage'!$AA$4:$AB$15))</f>
        <v>5.5821256022580627E-4</v>
      </c>
      <c r="F36" s="259" cm="1">
        <f t="array" aca="1" ref="F36" ca="1">_xlfn.XLOOKUP(F$13,INDIRECT("'"&amp;$B36&amp;" EI'!$B$6:$B$53"),_xlfn.XLOOKUP($C$10,INDIRECT("'"&amp;$B36&amp;" EI'!$D$4:$Z$4"),INDIRECT("'"&amp;$B36&amp;" EI'!$D$6:$Z$53")))*_xlfn.XLOOKUP($B36&amp;F$15,'Gas Useage'!$A$4:$A$15&amp;'Gas Useage'!$B$4:$B$15,_xlfn.XLOOKUP($C36&amp;F$14,'Gas Useage'!$C$2:$AB$2&amp;'Gas Useage'!$C$3:$AB$3,'Gas Useage'!$C$4:$AB$15))/_xlfn.XLOOKUP($B36&amp;F$15,'Gas Useage'!$A$4:$A$15&amp;'Gas Useage'!$B$4:$B$15,_xlfn.XLOOKUP(F$14,'Gas Useage'!$AA$3:$AB$3,'Gas Useage'!$AA$4:$AB$15))</f>
        <v>1.6639817585837212E-3</v>
      </c>
      <c r="G36" s="259" cm="1">
        <f t="array" aca="1" ref="G36" ca="1">_xlfn.XLOOKUP(G$13,INDIRECT("'"&amp;$B36&amp;" EI'!$B$6:$B$53"),_xlfn.XLOOKUP($C$10,INDIRECT("'"&amp;$B36&amp;" EI'!$D$4:$Z$4"),INDIRECT("'"&amp;$B36&amp;" EI'!$D$6:$Z$53")))*_xlfn.XLOOKUP($B36&amp;G$15,'Gas Useage'!$A$4:$A$15&amp;'Gas Useage'!$B$4:$B$15,_xlfn.XLOOKUP($C36&amp;G$14,'Gas Useage'!$C$2:$AB$2&amp;'Gas Useage'!$C$3:$AB$3,'Gas Useage'!$C$4:$AB$15))/_xlfn.XLOOKUP($B36&amp;G$15,'Gas Useage'!$A$4:$A$15&amp;'Gas Useage'!$B$4:$B$15,_xlfn.XLOOKUP(G$14,'Gas Useage'!$AA$3:$AB$3,'Gas Useage'!$AA$4:$AB$15))</f>
        <v>4.4459668879119304E-4</v>
      </c>
      <c r="H36" s="260" t="s">
        <v>278</v>
      </c>
      <c r="I36" s="260" t="s">
        <v>278</v>
      </c>
      <c r="J36" s="260" t="s">
        <v>278</v>
      </c>
      <c r="K36" s="261" t="s">
        <v>278</v>
      </c>
      <c r="N36" s="258"/>
    </row>
    <row r="37" spans="2:14" ht="13.5" x14ac:dyDescent="0.25">
      <c r="B37" s="32">
        <v>2021</v>
      </c>
      <c r="C37" s="494" t="s">
        <v>287</v>
      </c>
      <c r="D37" s="259" cm="1">
        <f t="array" aca="1" ref="D37" ca="1">_xlfn.XLOOKUP(D$13,INDIRECT("'"&amp;$B37&amp;" EI'!$B$6:$B$53"),_xlfn.XLOOKUP($C$10,INDIRECT("'"&amp;$B37&amp;" EI'!$D$4:$Z$4"),INDIRECT("'"&amp;$B37&amp;" EI'!$D$6:$Z$53")))*_xlfn.XLOOKUP($B37&amp;D$15,'Gas Useage'!$A$4:$A$15&amp;'Gas Useage'!$B$4:$B$15,_xlfn.XLOOKUP($C37&amp;D$14,'Gas Useage'!$C$2:$AB$2&amp;'Gas Useage'!$C$3:$AB$3,'Gas Useage'!$C$4:$AB$15))/_xlfn.XLOOKUP($B37&amp;D$15,'Gas Useage'!$A$4:$A$15&amp;'Gas Useage'!$B$4:$B$15,_xlfn.XLOOKUP(D$14,'Gas Useage'!$AA$3:$AB$3,'Gas Useage'!$AA$4:$AB$15))</f>
        <v>2.2323447403389722E-3</v>
      </c>
      <c r="E37" s="259" cm="1">
        <f t="array" aca="1" ref="E37" ca="1">_xlfn.XLOOKUP(E$13,INDIRECT("'"&amp;$B37&amp;" EI'!$B$6:$B$53"),_xlfn.XLOOKUP($C$10,INDIRECT("'"&amp;$B37&amp;" EI'!$D$4:$Z$4"),INDIRECT("'"&amp;$B37&amp;" EI'!$D$6:$Z$53")))*_xlfn.XLOOKUP($B37&amp;E$15,'Gas Useage'!$A$4:$A$15&amp;'Gas Useage'!$B$4:$B$15,_xlfn.XLOOKUP($C37&amp;E$14,'Gas Useage'!$C$2:$AB$2&amp;'Gas Useage'!$C$3:$AB$3,'Gas Useage'!$C$4:$AB$15))/_xlfn.XLOOKUP($B37&amp;E$15,'Gas Useage'!$A$4:$A$15&amp;'Gas Useage'!$B$4:$B$15,_xlfn.XLOOKUP(E$14,'Gas Useage'!$AA$3:$AB$3,'Gas Useage'!$AA$4:$AB$15))</f>
        <v>5.3219972744144434E-4</v>
      </c>
      <c r="F37" s="259" cm="1">
        <f t="array" aca="1" ref="F37" ca="1">_xlfn.XLOOKUP(F$13,INDIRECT("'"&amp;$B37&amp;" EI'!$B$6:$B$53"),_xlfn.XLOOKUP($C$10,INDIRECT("'"&amp;$B37&amp;" EI'!$D$4:$Z$4"),INDIRECT("'"&amp;$B37&amp;" EI'!$D$6:$Z$53")))*_xlfn.XLOOKUP($B37&amp;F$15,'Gas Useage'!$A$4:$A$15&amp;'Gas Useage'!$B$4:$B$15,_xlfn.XLOOKUP($C37&amp;F$14,'Gas Useage'!$C$2:$AB$2&amp;'Gas Useage'!$C$3:$AB$3,'Gas Useage'!$C$4:$AB$15))/_xlfn.XLOOKUP($B37&amp;F$15,'Gas Useage'!$A$4:$A$15&amp;'Gas Useage'!$B$4:$B$15,_xlfn.XLOOKUP(F$14,'Gas Useage'!$AA$3:$AB$3,'Gas Useage'!$AA$4:$AB$15))</f>
        <v>1.8179426227953844E-3</v>
      </c>
      <c r="G37" s="259" cm="1">
        <f t="array" aca="1" ref="G37" ca="1">_xlfn.XLOOKUP(G$13,INDIRECT("'"&amp;$B37&amp;" EI'!$B$6:$B$53"),_xlfn.XLOOKUP($C$10,INDIRECT("'"&amp;$B37&amp;" EI'!$D$4:$Z$4"),INDIRECT("'"&amp;$B37&amp;" EI'!$D$6:$Z$53")))*_xlfn.XLOOKUP($B37&amp;G$15,'Gas Useage'!$A$4:$A$15&amp;'Gas Useage'!$B$4:$B$15,_xlfn.XLOOKUP($C37&amp;G$14,'Gas Useage'!$C$2:$AB$2&amp;'Gas Useage'!$C$3:$AB$3,'Gas Useage'!$C$4:$AB$15))/_xlfn.XLOOKUP($B37&amp;G$15,'Gas Useage'!$A$4:$A$15&amp;'Gas Useage'!$B$4:$B$15,_xlfn.XLOOKUP(G$14,'Gas Useage'!$AA$3:$AB$3,'Gas Useage'!$AA$4:$AB$15))</f>
        <v>4.3340463991640266E-4</v>
      </c>
      <c r="H37" s="260" t="s">
        <v>278</v>
      </c>
      <c r="I37" s="260" t="s">
        <v>278</v>
      </c>
      <c r="J37" s="260" t="s">
        <v>278</v>
      </c>
      <c r="K37" s="261" t="s">
        <v>278</v>
      </c>
      <c r="N37" s="258"/>
    </row>
    <row r="38" spans="2:14" ht="13.5" x14ac:dyDescent="0.25">
      <c r="B38" s="32">
        <v>2021</v>
      </c>
      <c r="C38" s="494" t="s">
        <v>288</v>
      </c>
      <c r="D38" s="259" cm="1">
        <f t="array" aca="1" ref="D38" ca="1">_xlfn.XLOOKUP(D$13,INDIRECT("'"&amp;$B38&amp;" EI'!$B$6:$B$53"),_xlfn.XLOOKUP($C$10,INDIRECT("'"&amp;$B38&amp;" EI'!$D$4:$Z$4"),INDIRECT("'"&amp;$B38&amp;" EI'!$D$6:$Z$53")))*_xlfn.XLOOKUP($B38&amp;D$15,'Gas Useage'!$A$4:$A$15&amp;'Gas Useage'!$B$4:$B$15,_xlfn.XLOOKUP($C38&amp;D$14,'Gas Useage'!$C$2:$AB$2&amp;'Gas Useage'!$C$3:$AB$3,'Gas Useage'!$C$4:$AB$15))/_xlfn.XLOOKUP($B38&amp;D$15,'Gas Useage'!$A$4:$A$15&amp;'Gas Useage'!$B$4:$B$15,_xlfn.XLOOKUP(D$14,'Gas Useage'!$AA$3:$AB$3,'Gas Useage'!$AA$4:$AB$15))</f>
        <v>7.0338733652889436E-3</v>
      </c>
      <c r="E38" s="259" cm="1">
        <f t="array" aca="1" ref="E38" ca="1">_xlfn.XLOOKUP(E$13,INDIRECT("'"&amp;$B38&amp;" EI'!$B$6:$B$53"),_xlfn.XLOOKUP($C$10,INDIRECT("'"&amp;$B38&amp;" EI'!$D$4:$Z$4"),INDIRECT("'"&amp;$B38&amp;" EI'!$D$6:$Z$53")))*_xlfn.XLOOKUP($B38&amp;E$15,'Gas Useage'!$A$4:$A$15&amp;'Gas Useage'!$B$4:$B$15,_xlfn.XLOOKUP($C38&amp;E$14,'Gas Useage'!$C$2:$AB$2&amp;'Gas Useage'!$C$3:$AB$3,'Gas Useage'!$C$4:$AB$15))/_xlfn.XLOOKUP($B38&amp;E$15,'Gas Useage'!$A$4:$A$15&amp;'Gas Useage'!$B$4:$B$15,_xlfn.XLOOKUP(E$14,'Gas Useage'!$AA$3:$AB$3,'Gas Useage'!$AA$4:$AB$15))</f>
        <v>2.5198589392427338E-3</v>
      </c>
      <c r="F38" s="259" cm="1">
        <f t="array" aca="1" ref="F38" ca="1">_xlfn.XLOOKUP(F$13,INDIRECT("'"&amp;$B38&amp;" EI'!$B$6:$B$53"),_xlfn.XLOOKUP($C$10,INDIRECT("'"&amp;$B38&amp;" EI'!$D$4:$Z$4"),INDIRECT("'"&amp;$B38&amp;" EI'!$D$6:$Z$53")))*_xlfn.XLOOKUP($B38&amp;F$15,'Gas Useage'!$A$4:$A$15&amp;'Gas Useage'!$B$4:$B$15,_xlfn.XLOOKUP($C38&amp;F$14,'Gas Useage'!$C$2:$AB$2&amp;'Gas Useage'!$C$3:$AB$3,'Gas Useage'!$C$4:$AB$15))/_xlfn.XLOOKUP($B38&amp;F$15,'Gas Useage'!$A$4:$A$15&amp;'Gas Useage'!$B$4:$B$15,_xlfn.XLOOKUP(F$14,'Gas Useage'!$AA$3:$AB$3,'Gas Useage'!$AA$4:$AB$15))</f>
        <v>6.4096534347327667E-3</v>
      </c>
      <c r="G38" s="259" cm="1">
        <f t="array" aca="1" ref="G38" ca="1">_xlfn.XLOOKUP(G$13,INDIRECT("'"&amp;$B38&amp;" EI'!$B$6:$B$53"),_xlfn.XLOOKUP($C$10,INDIRECT("'"&amp;$B38&amp;" EI'!$D$4:$Z$4"),INDIRECT("'"&amp;$B38&amp;" EI'!$D$6:$Z$53")))*_xlfn.XLOOKUP($B38&amp;G$15,'Gas Useage'!$A$4:$A$15&amp;'Gas Useage'!$B$4:$B$15,_xlfn.XLOOKUP($C38&amp;G$14,'Gas Useage'!$C$2:$AB$2&amp;'Gas Useage'!$C$3:$AB$3,'Gas Useage'!$C$4:$AB$15))/_xlfn.XLOOKUP($B38&amp;G$15,'Gas Useage'!$A$4:$A$15&amp;'Gas Useage'!$B$4:$B$15,_xlfn.XLOOKUP(G$14,'Gas Useage'!$AA$3:$AB$3,'Gas Useage'!$AA$4:$AB$15))</f>
        <v>2.2962344736918313E-3</v>
      </c>
      <c r="H38" s="260" t="s">
        <v>278</v>
      </c>
      <c r="I38" s="260" t="s">
        <v>278</v>
      </c>
      <c r="J38" s="260" t="s">
        <v>278</v>
      </c>
      <c r="K38" s="261" t="s">
        <v>278</v>
      </c>
      <c r="N38" s="258"/>
    </row>
    <row r="39" spans="2:14" ht="13.5" x14ac:dyDescent="0.25">
      <c r="B39" s="32">
        <v>2021</v>
      </c>
      <c r="C39" s="494" t="s">
        <v>289</v>
      </c>
      <c r="D39" s="259" cm="1">
        <f t="array" aca="1" ref="D39" ca="1">_xlfn.XLOOKUP(D$13,INDIRECT("'"&amp;$B39&amp;" EI'!$B$6:$B$53"),_xlfn.XLOOKUP($C$10,INDIRECT("'"&amp;$B39&amp;" EI'!$D$4:$Z$4"),INDIRECT("'"&amp;$B39&amp;" EI'!$D$6:$Z$53")))*_xlfn.XLOOKUP($B39&amp;D$15,'Gas Useage'!$A$4:$A$15&amp;'Gas Useage'!$B$4:$B$15,_xlfn.XLOOKUP($C39&amp;D$14,'Gas Useage'!$C$2:$AB$2&amp;'Gas Useage'!$C$3:$AB$3,'Gas Useage'!$C$4:$AB$15))/_xlfn.XLOOKUP($B39&amp;D$15,'Gas Useage'!$A$4:$A$15&amp;'Gas Useage'!$B$4:$B$15,_xlfn.XLOOKUP(D$14,'Gas Useage'!$AA$3:$AB$3,'Gas Useage'!$AA$4:$AB$15))</f>
        <v>4.2194733656406389E-3</v>
      </c>
      <c r="E39" s="259" cm="1">
        <f t="array" aca="1" ref="E39" ca="1">_xlfn.XLOOKUP(E$13,INDIRECT("'"&amp;$B39&amp;" EI'!$B$6:$B$53"),_xlfn.XLOOKUP($C$10,INDIRECT("'"&amp;$B39&amp;" EI'!$D$4:$Z$4"),INDIRECT("'"&amp;$B39&amp;" EI'!$D$6:$Z$53")))*_xlfn.XLOOKUP($B39&amp;E$15,'Gas Useage'!$A$4:$A$15&amp;'Gas Useage'!$B$4:$B$15,_xlfn.XLOOKUP($C39&amp;E$14,'Gas Useage'!$C$2:$AB$2&amp;'Gas Useage'!$C$3:$AB$3,'Gas Useage'!$C$4:$AB$15))/_xlfn.XLOOKUP($B39&amp;E$15,'Gas Useage'!$A$4:$A$15&amp;'Gas Useage'!$B$4:$B$15,_xlfn.XLOOKUP(E$14,'Gas Useage'!$AA$3:$AB$3,'Gas Useage'!$AA$4:$AB$15))</f>
        <v>1.4461887758323154E-3</v>
      </c>
      <c r="F39" s="259" cm="1">
        <f t="array" aca="1" ref="F39" ca="1">_xlfn.XLOOKUP(F$13,INDIRECT("'"&amp;$B39&amp;" EI'!$B$6:$B$53"),_xlfn.XLOOKUP($C$10,INDIRECT("'"&amp;$B39&amp;" EI'!$D$4:$Z$4"),INDIRECT("'"&amp;$B39&amp;" EI'!$D$6:$Z$53")))*_xlfn.XLOOKUP($B39&amp;F$15,'Gas Useage'!$A$4:$A$15&amp;'Gas Useage'!$B$4:$B$15,_xlfn.XLOOKUP($C39&amp;F$14,'Gas Useage'!$C$2:$AB$2&amp;'Gas Useage'!$C$3:$AB$3,'Gas Useage'!$C$4:$AB$15))/_xlfn.XLOOKUP($B39&amp;F$15,'Gas Useage'!$A$4:$A$15&amp;'Gas Useage'!$B$4:$B$15,_xlfn.XLOOKUP(F$14,'Gas Useage'!$AA$3:$AB$3,'Gas Useage'!$AA$4:$AB$15))</f>
        <v>4.0983980897255573E-3</v>
      </c>
      <c r="G39" s="259" cm="1">
        <f t="array" aca="1" ref="G39" ca="1">_xlfn.XLOOKUP(G$13,INDIRECT("'"&amp;$B39&amp;" EI'!$B$6:$B$53"),_xlfn.XLOOKUP($C$10,INDIRECT("'"&amp;$B39&amp;" EI'!$D$4:$Z$4"),INDIRECT("'"&amp;$B39&amp;" EI'!$D$6:$Z$53")))*_xlfn.XLOOKUP($B39&amp;G$15,'Gas Useage'!$A$4:$A$15&amp;'Gas Useage'!$B$4:$B$15,_xlfn.XLOOKUP($C39&amp;G$14,'Gas Useage'!$C$2:$AB$2&amp;'Gas Useage'!$C$3:$AB$3,'Gas Useage'!$C$4:$AB$15))/_xlfn.XLOOKUP($B39&amp;G$15,'Gas Useage'!$A$4:$A$15&amp;'Gas Useage'!$B$4:$B$15,_xlfn.XLOOKUP(G$14,'Gas Useage'!$AA$3:$AB$3,'Gas Useage'!$AA$4:$AB$15))</f>
        <v>1.4046912499834682E-3</v>
      </c>
      <c r="H39" s="260" t="s">
        <v>278</v>
      </c>
      <c r="I39" s="260" t="s">
        <v>278</v>
      </c>
      <c r="J39" s="260" t="s">
        <v>278</v>
      </c>
      <c r="K39" s="261" t="s">
        <v>278</v>
      </c>
      <c r="N39" s="258"/>
    </row>
    <row r="40" spans="2:14" ht="13.5" x14ac:dyDescent="0.25">
      <c r="B40" s="32">
        <v>2022</v>
      </c>
      <c r="C40" s="494" t="s">
        <v>277</v>
      </c>
      <c r="D40" s="259" cm="1">
        <f t="array" aca="1" ref="D40" ca="1">_xlfn.XLOOKUP(D$13,INDIRECT("'"&amp;$B40&amp;" EI'!$B$6:$B$53"),_xlfn.XLOOKUP($C$10,INDIRECT("'"&amp;$B40&amp;" EI'!$D$4:$Z$4"),INDIRECT("'"&amp;$B40&amp;" EI'!$D$6:$Z$53")))*_xlfn.XLOOKUP($B40&amp;D$15,'Gas Useage'!$A$4:$A$15&amp;'Gas Useage'!$B$4:$B$15,_xlfn.XLOOKUP($C40&amp;D$14,'Gas Useage'!$C$2:$AB$2&amp;'Gas Useage'!$C$3:$AB$3,'Gas Useage'!$C$4:$AB$15))/_xlfn.XLOOKUP($B40&amp;D$15,'Gas Useage'!$A$4:$A$15&amp;'Gas Useage'!$B$4:$B$15,_xlfn.XLOOKUP(D$14,'Gas Useage'!$AA$3:$AB$3,'Gas Useage'!$AA$4:$AB$15))</f>
        <v>4.5032483571378189E-3</v>
      </c>
      <c r="E40" s="259" cm="1">
        <f t="array" aca="1" ref="E40" ca="1">_xlfn.XLOOKUP(E$13,INDIRECT("'"&amp;$B40&amp;" EI'!$B$6:$B$53"),_xlfn.XLOOKUP($C$10,INDIRECT("'"&amp;$B40&amp;" EI'!$D$4:$Z$4"),INDIRECT("'"&amp;$B40&amp;" EI'!$D$6:$Z$53")))*_xlfn.XLOOKUP($B40&amp;E$15,'Gas Useage'!$A$4:$A$15&amp;'Gas Useage'!$B$4:$B$15,_xlfn.XLOOKUP($C40&amp;E$14,'Gas Useage'!$C$2:$AB$2&amp;'Gas Useage'!$C$3:$AB$3,'Gas Useage'!$C$4:$AB$15))/_xlfn.XLOOKUP($B40&amp;E$15,'Gas Useage'!$A$4:$A$15&amp;'Gas Useage'!$B$4:$B$15,_xlfn.XLOOKUP(E$14,'Gas Useage'!$AA$3:$AB$3,'Gas Useage'!$AA$4:$AB$15))</f>
        <v>2.0485224499843875E-3</v>
      </c>
      <c r="F40" s="259" cm="1">
        <f t="array" aca="1" ref="F40" ca="1">_xlfn.XLOOKUP(F$13,INDIRECT("'"&amp;$B40&amp;" EI'!$B$6:$B$53"),_xlfn.XLOOKUP($C$10,INDIRECT("'"&amp;$B40&amp;" EI'!$D$4:$Z$4"),INDIRECT("'"&amp;$B40&amp;" EI'!$D$6:$Z$53")))*_xlfn.XLOOKUP($B40&amp;F$15,'Gas Useage'!$A$4:$A$15&amp;'Gas Useage'!$B$4:$B$15,_xlfn.XLOOKUP($C40&amp;F$14,'Gas Useage'!$C$2:$AB$2&amp;'Gas Useage'!$C$3:$AB$3,'Gas Useage'!$C$4:$AB$15))/_xlfn.XLOOKUP($B40&amp;F$15,'Gas Useage'!$A$4:$A$15&amp;'Gas Useage'!$B$4:$B$15,_xlfn.XLOOKUP(F$14,'Gas Useage'!$AA$3:$AB$3,'Gas Useage'!$AA$4:$AB$15))</f>
        <v>4.0041788015967219E-3</v>
      </c>
      <c r="G40" s="259" cm="1">
        <f t="array" aca="1" ref="G40" ca="1">_xlfn.XLOOKUP(G$13,INDIRECT("'"&amp;$B40&amp;" EI'!$B$6:$B$53"),_xlfn.XLOOKUP($C$10,INDIRECT("'"&amp;$B40&amp;" EI'!$D$4:$Z$4"),INDIRECT("'"&amp;$B40&amp;" EI'!$D$6:$Z$53")))*_xlfn.XLOOKUP($B40&amp;G$15,'Gas Useage'!$A$4:$A$15&amp;'Gas Useage'!$B$4:$B$15,_xlfn.XLOOKUP($C40&amp;G$14,'Gas Useage'!$C$2:$AB$2&amp;'Gas Useage'!$C$3:$AB$3,'Gas Useage'!$C$4:$AB$15))/_xlfn.XLOOKUP($B40&amp;G$15,'Gas Useage'!$A$4:$A$15&amp;'Gas Useage'!$B$4:$B$15,_xlfn.XLOOKUP(G$14,'Gas Useage'!$AA$3:$AB$3,'Gas Useage'!$AA$4:$AB$15))</f>
        <v>1.8214962885226957E-3</v>
      </c>
      <c r="H40" s="260" t="s">
        <v>278</v>
      </c>
      <c r="I40" s="260" t="s">
        <v>278</v>
      </c>
      <c r="J40" s="260" t="s">
        <v>278</v>
      </c>
      <c r="K40" s="261" t="s">
        <v>278</v>
      </c>
      <c r="N40" s="258"/>
    </row>
    <row r="41" spans="2:14" ht="13.5" x14ac:dyDescent="0.25">
      <c r="B41" s="32">
        <v>2022</v>
      </c>
      <c r="C41" s="494" t="s">
        <v>279</v>
      </c>
      <c r="D41" s="259" cm="1">
        <f t="array" aca="1" ref="D41" ca="1">_xlfn.XLOOKUP(D$13,INDIRECT("'"&amp;$B41&amp;" EI'!$B$6:$B$53"),_xlfn.XLOOKUP($C$10,INDIRECT("'"&amp;$B41&amp;" EI'!$D$4:$Z$4"),INDIRECT("'"&amp;$B41&amp;" EI'!$D$6:$Z$53")))*_xlfn.XLOOKUP($B41&amp;D$15,'Gas Useage'!$A$4:$A$15&amp;'Gas Useage'!$B$4:$B$15,_xlfn.XLOOKUP($C41&amp;D$14,'Gas Useage'!$C$2:$AB$2&amp;'Gas Useage'!$C$3:$AB$3,'Gas Useage'!$C$4:$AB$15))/_xlfn.XLOOKUP($B41&amp;D$15,'Gas Useage'!$A$4:$A$15&amp;'Gas Useage'!$B$4:$B$15,_xlfn.XLOOKUP(D$14,'Gas Useage'!$AA$3:$AB$3,'Gas Useage'!$AA$4:$AB$15))</f>
        <v>4.2927001302953604E-3</v>
      </c>
      <c r="E41" s="259" cm="1">
        <f t="array" aca="1" ref="E41" ca="1">_xlfn.XLOOKUP(E$13,INDIRECT("'"&amp;$B41&amp;" EI'!$B$6:$B$53"),_xlfn.XLOOKUP($C$10,INDIRECT("'"&amp;$B41&amp;" EI'!$D$4:$Z$4"),INDIRECT("'"&amp;$B41&amp;" EI'!$D$6:$Z$53")))*_xlfn.XLOOKUP($B41&amp;E$15,'Gas Useage'!$A$4:$A$15&amp;'Gas Useage'!$B$4:$B$15,_xlfn.XLOOKUP($C41&amp;E$14,'Gas Useage'!$C$2:$AB$2&amp;'Gas Useage'!$C$3:$AB$3,'Gas Useage'!$C$4:$AB$15))/_xlfn.XLOOKUP($B41&amp;E$15,'Gas Useage'!$A$4:$A$15&amp;'Gas Useage'!$B$4:$B$15,_xlfn.XLOOKUP(E$14,'Gas Useage'!$AA$3:$AB$3,'Gas Useage'!$AA$4:$AB$15))</f>
        <v>1.7471443653186358E-3</v>
      </c>
      <c r="F41" s="259" cm="1">
        <f t="array" aca="1" ref="F41" ca="1">_xlfn.XLOOKUP(F$13,INDIRECT("'"&amp;$B41&amp;" EI'!$B$6:$B$53"),_xlfn.XLOOKUP($C$10,INDIRECT("'"&amp;$B41&amp;" EI'!$D$4:$Z$4"),INDIRECT("'"&amp;$B41&amp;" EI'!$D$6:$Z$53")))*_xlfn.XLOOKUP($B41&amp;F$15,'Gas Useage'!$A$4:$A$15&amp;'Gas Useage'!$B$4:$B$15,_xlfn.XLOOKUP($C41&amp;F$14,'Gas Useage'!$C$2:$AB$2&amp;'Gas Useage'!$C$3:$AB$3,'Gas Useage'!$C$4:$AB$15))/_xlfn.XLOOKUP($B41&amp;F$15,'Gas Useage'!$A$4:$A$15&amp;'Gas Useage'!$B$4:$B$15,_xlfn.XLOOKUP(F$14,'Gas Useage'!$AA$3:$AB$3,'Gas Useage'!$AA$4:$AB$15))</f>
        <v>2.878746043472674E-3</v>
      </c>
      <c r="G41" s="259" cm="1">
        <f t="array" aca="1" ref="G41" ca="1">_xlfn.XLOOKUP(G$13,INDIRECT("'"&amp;$B41&amp;" EI'!$B$6:$B$53"),_xlfn.XLOOKUP($C$10,INDIRECT("'"&amp;$B41&amp;" EI'!$D$4:$Z$4"),INDIRECT("'"&amp;$B41&amp;" EI'!$D$6:$Z$53")))*_xlfn.XLOOKUP($B41&amp;G$15,'Gas Useage'!$A$4:$A$15&amp;'Gas Useage'!$B$4:$B$15,_xlfn.XLOOKUP($C41&amp;G$14,'Gas Useage'!$C$2:$AB$2&amp;'Gas Useage'!$C$3:$AB$3,'Gas Useage'!$C$4:$AB$15))/_xlfn.XLOOKUP($B41&amp;G$15,'Gas Useage'!$A$4:$A$15&amp;'Gas Useage'!$B$4:$B$15,_xlfn.XLOOKUP(G$14,'Gas Useage'!$AA$3:$AB$3,'Gas Useage'!$AA$4:$AB$15))</f>
        <v>1.1716599753942131E-3</v>
      </c>
      <c r="H41" s="260" t="s">
        <v>278</v>
      </c>
      <c r="I41" s="260" t="s">
        <v>278</v>
      </c>
      <c r="J41" s="260" t="s">
        <v>278</v>
      </c>
      <c r="K41" s="261" t="s">
        <v>278</v>
      </c>
      <c r="N41" s="258"/>
    </row>
    <row r="42" spans="2:14" ht="13.5" x14ac:dyDescent="0.25">
      <c r="B42" s="32">
        <v>2022</v>
      </c>
      <c r="C42" s="494" t="s">
        <v>280</v>
      </c>
      <c r="D42" s="259" cm="1">
        <f t="array" aca="1" ref="D42" ca="1">_xlfn.XLOOKUP(D$13,INDIRECT("'"&amp;$B42&amp;" EI'!$B$6:$B$53"),_xlfn.XLOOKUP($C$10,INDIRECT("'"&amp;$B42&amp;" EI'!$D$4:$Z$4"),INDIRECT("'"&amp;$B42&amp;" EI'!$D$6:$Z$53")))*_xlfn.XLOOKUP($B42&amp;D$15,'Gas Useage'!$A$4:$A$15&amp;'Gas Useage'!$B$4:$B$15,_xlfn.XLOOKUP($C42&amp;D$14,'Gas Useage'!$C$2:$AB$2&amp;'Gas Useage'!$C$3:$AB$3,'Gas Useage'!$C$4:$AB$15))/_xlfn.XLOOKUP($B42&amp;D$15,'Gas Useage'!$A$4:$A$15&amp;'Gas Useage'!$B$4:$B$15,_xlfn.XLOOKUP(D$14,'Gas Useage'!$AA$3:$AB$3,'Gas Useage'!$AA$4:$AB$15))</f>
        <v>4.974298890336396E-3</v>
      </c>
      <c r="E42" s="259" cm="1">
        <f t="array" aca="1" ref="E42" ca="1">_xlfn.XLOOKUP(E$13,INDIRECT("'"&amp;$B42&amp;" EI'!$B$6:$B$53"),_xlfn.XLOOKUP($C$10,INDIRECT("'"&amp;$B42&amp;" EI'!$D$4:$Z$4"),INDIRECT("'"&amp;$B42&amp;" EI'!$D$6:$Z$53")))*_xlfn.XLOOKUP($B42&amp;E$15,'Gas Useage'!$A$4:$A$15&amp;'Gas Useage'!$B$4:$B$15,_xlfn.XLOOKUP($C42&amp;E$14,'Gas Useage'!$C$2:$AB$2&amp;'Gas Useage'!$C$3:$AB$3,'Gas Useage'!$C$4:$AB$15))/_xlfn.XLOOKUP($B42&amp;E$15,'Gas Useage'!$A$4:$A$15&amp;'Gas Useage'!$B$4:$B$15,_xlfn.XLOOKUP(E$14,'Gas Useage'!$AA$3:$AB$3,'Gas Useage'!$AA$4:$AB$15))</f>
        <v>1.8122857774651715E-3</v>
      </c>
      <c r="F42" s="259" cm="1">
        <f t="array" aca="1" ref="F42" ca="1">_xlfn.XLOOKUP(F$13,INDIRECT("'"&amp;$B42&amp;" EI'!$B$6:$B$53"),_xlfn.XLOOKUP($C$10,INDIRECT("'"&amp;$B42&amp;" EI'!$D$4:$Z$4"),INDIRECT("'"&amp;$B42&amp;" EI'!$D$6:$Z$53")))*_xlfn.XLOOKUP($B42&amp;F$15,'Gas Useage'!$A$4:$A$15&amp;'Gas Useage'!$B$4:$B$15,_xlfn.XLOOKUP($C42&amp;F$14,'Gas Useage'!$C$2:$AB$2&amp;'Gas Useage'!$C$3:$AB$3,'Gas Useage'!$C$4:$AB$15))/_xlfn.XLOOKUP($B42&amp;F$15,'Gas Useage'!$A$4:$A$15&amp;'Gas Useage'!$B$4:$B$15,_xlfn.XLOOKUP(F$14,'Gas Useage'!$AA$3:$AB$3,'Gas Useage'!$AA$4:$AB$15))</f>
        <v>2.356664673626671E-3</v>
      </c>
      <c r="G42" s="259" cm="1">
        <f t="array" aca="1" ref="G42" ca="1">_xlfn.XLOOKUP(G$13,INDIRECT("'"&amp;$B42&amp;" EI'!$B$6:$B$53"),_xlfn.XLOOKUP($C$10,INDIRECT("'"&amp;$B42&amp;" EI'!$D$4:$Z$4"),INDIRECT("'"&amp;$B42&amp;" EI'!$D$6:$Z$53")))*_xlfn.XLOOKUP($B42&amp;G$15,'Gas Useage'!$A$4:$A$15&amp;'Gas Useage'!$B$4:$B$15,_xlfn.XLOOKUP($C42&amp;G$14,'Gas Useage'!$C$2:$AB$2&amp;'Gas Useage'!$C$3:$AB$3,'Gas Useage'!$C$4:$AB$15))/_xlfn.XLOOKUP($B42&amp;G$15,'Gas Useage'!$A$4:$A$15&amp;'Gas Useage'!$B$4:$B$15,_xlfn.XLOOKUP(G$14,'Gas Useage'!$AA$3:$AB$3,'Gas Useage'!$AA$4:$AB$15))</f>
        <v>8.5860338600991977E-4</v>
      </c>
      <c r="H42" s="260" t="s">
        <v>278</v>
      </c>
      <c r="I42" s="260" t="s">
        <v>278</v>
      </c>
      <c r="J42" s="260" t="s">
        <v>278</v>
      </c>
      <c r="K42" s="261" t="s">
        <v>278</v>
      </c>
      <c r="N42" s="258"/>
    </row>
    <row r="43" spans="2:14" ht="13.5" x14ac:dyDescent="0.25">
      <c r="B43" s="32">
        <v>2022</v>
      </c>
      <c r="C43" s="494" t="s">
        <v>281</v>
      </c>
      <c r="D43" s="259" cm="1">
        <f t="array" aca="1" ref="D43" ca="1">_xlfn.XLOOKUP(D$13,INDIRECT("'"&amp;$B43&amp;" EI'!$B$6:$B$53"),_xlfn.XLOOKUP($C$10,INDIRECT("'"&amp;$B43&amp;" EI'!$D$4:$Z$4"),INDIRECT("'"&amp;$B43&amp;" EI'!$D$6:$Z$53")))*_xlfn.XLOOKUP($B43&amp;D$15,'Gas Useage'!$A$4:$A$15&amp;'Gas Useage'!$B$4:$B$15,_xlfn.XLOOKUP($C43&amp;D$14,'Gas Useage'!$C$2:$AB$2&amp;'Gas Useage'!$C$3:$AB$3,'Gas Useage'!$C$4:$AB$15))/_xlfn.XLOOKUP($B43&amp;D$15,'Gas Useage'!$A$4:$A$15&amp;'Gas Useage'!$B$4:$B$15,_xlfn.XLOOKUP(D$14,'Gas Useage'!$AA$3:$AB$3,'Gas Useage'!$AA$4:$AB$15))</f>
        <v>5.0994979501126957E-3</v>
      </c>
      <c r="E43" s="259" cm="1">
        <f t="array" aca="1" ref="E43" ca="1">_xlfn.XLOOKUP(E$13,INDIRECT("'"&amp;$B43&amp;" EI'!$B$6:$B$53"),_xlfn.XLOOKUP($C$10,INDIRECT("'"&amp;$B43&amp;" EI'!$D$4:$Z$4"),INDIRECT("'"&amp;$B43&amp;" EI'!$D$6:$Z$53")))*_xlfn.XLOOKUP($B43&amp;E$15,'Gas Useage'!$A$4:$A$15&amp;'Gas Useage'!$B$4:$B$15,_xlfn.XLOOKUP($C43&amp;E$14,'Gas Useage'!$C$2:$AB$2&amp;'Gas Useage'!$C$3:$AB$3,'Gas Useage'!$C$4:$AB$15))/_xlfn.XLOOKUP($B43&amp;E$15,'Gas Useage'!$A$4:$A$15&amp;'Gas Useage'!$B$4:$B$15,_xlfn.XLOOKUP(E$14,'Gas Useage'!$AA$3:$AB$3,'Gas Useage'!$AA$4:$AB$15))</f>
        <v>2.0509772696731972E-3</v>
      </c>
      <c r="F43" s="259" cm="1">
        <f t="array" aca="1" ref="F43" ca="1">_xlfn.XLOOKUP(F$13,INDIRECT("'"&amp;$B43&amp;" EI'!$B$6:$B$53"),_xlfn.XLOOKUP($C$10,INDIRECT("'"&amp;$B43&amp;" EI'!$D$4:$Z$4"),INDIRECT("'"&amp;$B43&amp;" EI'!$D$6:$Z$53")))*_xlfn.XLOOKUP($B43&amp;F$15,'Gas Useage'!$A$4:$A$15&amp;'Gas Useage'!$B$4:$B$15,_xlfn.XLOOKUP($C43&amp;F$14,'Gas Useage'!$C$2:$AB$2&amp;'Gas Useage'!$C$3:$AB$3,'Gas Useage'!$C$4:$AB$15))/_xlfn.XLOOKUP($B43&amp;F$15,'Gas Useage'!$A$4:$A$15&amp;'Gas Useage'!$B$4:$B$15,_xlfn.XLOOKUP(F$14,'Gas Useage'!$AA$3:$AB$3,'Gas Useage'!$AA$4:$AB$15))</f>
        <v>4.1128708920812581E-3</v>
      </c>
      <c r="G43" s="259" cm="1">
        <f t="array" aca="1" ref="G43" ca="1">_xlfn.XLOOKUP(G$13,INDIRECT("'"&amp;$B43&amp;" EI'!$B$6:$B$53"),_xlfn.XLOOKUP($C$10,INDIRECT("'"&amp;$B43&amp;" EI'!$D$4:$Z$4"),INDIRECT("'"&amp;$B43&amp;" EI'!$D$6:$Z$53")))*_xlfn.XLOOKUP($B43&amp;G$15,'Gas Useage'!$A$4:$A$15&amp;'Gas Useage'!$B$4:$B$15,_xlfn.XLOOKUP($C43&amp;G$14,'Gas Useage'!$C$2:$AB$2&amp;'Gas Useage'!$C$3:$AB$3,'Gas Useage'!$C$4:$AB$15))/_xlfn.XLOOKUP($B43&amp;G$15,'Gas Useage'!$A$4:$A$15&amp;'Gas Useage'!$B$4:$B$15,_xlfn.XLOOKUP(G$14,'Gas Useage'!$AA$3:$AB$3,'Gas Useage'!$AA$4:$AB$15))</f>
        <v>1.6541637618606687E-3</v>
      </c>
      <c r="H43" s="260" t="s">
        <v>278</v>
      </c>
      <c r="I43" s="260" t="s">
        <v>278</v>
      </c>
      <c r="J43" s="260" t="s">
        <v>278</v>
      </c>
      <c r="K43" s="261" t="s">
        <v>278</v>
      </c>
      <c r="N43" s="258"/>
    </row>
    <row r="44" spans="2:14" ht="13.5" x14ac:dyDescent="0.25">
      <c r="B44" s="32">
        <v>2022</v>
      </c>
      <c r="C44" s="494" t="s">
        <v>282</v>
      </c>
      <c r="D44" s="259" cm="1">
        <f t="array" aca="1" ref="D44" ca="1">_xlfn.XLOOKUP(D$13,INDIRECT("'"&amp;$B44&amp;" EI'!$B$6:$B$53"),_xlfn.XLOOKUP($C$10,INDIRECT("'"&amp;$B44&amp;" EI'!$D$4:$Z$4"),INDIRECT("'"&amp;$B44&amp;" EI'!$D$6:$Z$53")))*_xlfn.XLOOKUP($B44&amp;D$15,'Gas Useage'!$A$4:$A$15&amp;'Gas Useage'!$B$4:$B$15,_xlfn.XLOOKUP($C44&amp;D$14,'Gas Useage'!$C$2:$AB$2&amp;'Gas Useage'!$C$3:$AB$3,'Gas Useage'!$C$4:$AB$15))/_xlfn.XLOOKUP($B44&amp;D$15,'Gas Useage'!$A$4:$A$15&amp;'Gas Useage'!$B$4:$B$15,_xlfn.XLOOKUP(D$14,'Gas Useage'!$AA$3:$AB$3,'Gas Useage'!$AA$4:$AB$15))</f>
        <v>3.5066542221865501E-3</v>
      </c>
      <c r="E44" s="259" cm="1">
        <f t="array" aca="1" ref="E44" ca="1">_xlfn.XLOOKUP(E$13,INDIRECT("'"&amp;$B44&amp;" EI'!$B$6:$B$53"),_xlfn.XLOOKUP($C$10,INDIRECT("'"&amp;$B44&amp;" EI'!$D$4:$Z$4"),INDIRECT("'"&amp;$B44&amp;" EI'!$D$6:$Z$53")))*_xlfn.XLOOKUP($B44&amp;E$15,'Gas Useage'!$A$4:$A$15&amp;'Gas Useage'!$B$4:$B$15,_xlfn.XLOOKUP($C44&amp;E$14,'Gas Useage'!$C$2:$AB$2&amp;'Gas Useage'!$C$3:$AB$3,'Gas Useage'!$C$4:$AB$15))/_xlfn.XLOOKUP($B44&amp;E$15,'Gas Useage'!$A$4:$A$15&amp;'Gas Useage'!$B$4:$B$15,_xlfn.XLOOKUP(E$14,'Gas Useage'!$AA$3:$AB$3,'Gas Useage'!$AA$4:$AB$15))</f>
        <v>1.4696905047683272E-3</v>
      </c>
      <c r="F44" s="259" cm="1">
        <f t="array" aca="1" ref="F44" ca="1">_xlfn.XLOOKUP(F$13,INDIRECT("'"&amp;$B44&amp;" EI'!$B$6:$B$53"),_xlfn.XLOOKUP($C$10,INDIRECT("'"&amp;$B44&amp;" EI'!$D$4:$Z$4"),INDIRECT("'"&amp;$B44&amp;" EI'!$D$6:$Z$53")))*_xlfn.XLOOKUP($B44&amp;F$15,'Gas Useage'!$A$4:$A$15&amp;'Gas Useage'!$B$4:$B$15,_xlfn.XLOOKUP($C44&amp;F$14,'Gas Useage'!$C$2:$AB$2&amp;'Gas Useage'!$C$3:$AB$3,'Gas Useage'!$C$4:$AB$15))/_xlfn.XLOOKUP($B44&amp;F$15,'Gas Useage'!$A$4:$A$15&amp;'Gas Useage'!$B$4:$B$15,_xlfn.XLOOKUP(F$14,'Gas Useage'!$AA$3:$AB$3,'Gas Useage'!$AA$4:$AB$15))</f>
        <v>2.0326614067566954E-3</v>
      </c>
      <c r="G44" s="259" cm="1">
        <f t="array" aca="1" ref="G44" ca="1">_xlfn.XLOOKUP(G$13,INDIRECT("'"&amp;$B44&amp;" EI'!$B$6:$B$53"),_xlfn.XLOOKUP($C$10,INDIRECT("'"&amp;$B44&amp;" EI'!$D$4:$Z$4"),INDIRECT("'"&amp;$B44&amp;" EI'!$D$6:$Z$53")))*_xlfn.XLOOKUP($B44&amp;G$15,'Gas Useage'!$A$4:$A$15&amp;'Gas Useage'!$B$4:$B$15,_xlfn.XLOOKUP($C44&amp;G$14,'Gas Useage'!$C$2:$AB$2&amp;'Gas Useage'!$C$3:$AB$3,'Gas Useage'!$C$4:$AB$15))/_xlfn.XLOOKUP($B44&amp;G$15,'Gas Useage'!$A$4:$A$15&amp;'Gas Useage'!$B$4:$B$15,_xlfn.XLOOKUP(G$14,'Gas Useage'!$AA$3:$AB$3,'Gas Useage'!$AA$4:$AB$15))</f>
        <v>8.519183756465679E-4</v>
      </c>
      <c r="H44" s="260" t="s">
        <v>278</v>
      </c>
      <c r="I44" s="260" t="s">
        <v>278</v>
      </c>
      <c r="J44" s="260" t="s">
        <v>278</v>
      </c>
      <c r="K44" s="261" t="s">
        <v>278</v>
      </c>
      <c r="N44" s="258"/>
    </row>
    <row r="45" spans="2:14" ht="13.5" x14ac:dyDescent="0.25">
      <c r="B45" s="32">
        <v>2022</v>
      </c>
      <c r="C45" s="494" t="s">
        <v>283</v>
      </c>
      <c r="D45" s="259" cm="1">
        <f t="array" aca="1" ref="D45" ca="1">_xlfn.XLOOKUP(D$13,INDIRECT("'"&amp;$B45&amp;" EI'!$B$6:$B$53"),_xlfn.XLOOKUP($C$10,INDIRECT("'"&amp;$B45&amp;" EI'!$D$4:$Z$4"),INDIRECT("'"&amp;$B45&amp;" EI'!$D$6:$Z$53")))*_xlfn.XLOOKUP($B45&amp;D$15,'Gas Useage'!$A$4:$A$15&amp;'Gas Useage'!$B$4:$B$15,_xlfn.XLOOKUP($C45&amp;D$14,'Gas Useage'!$C$2:$AB$2&amp;'Gas Useage'!$C$3:$AB$3,'Gas Useage'!$C$4:$AB$15))/_xlfn.XLOOKUP($B45&amp;D$15,'Gas Useage'!$A$4:$A$15&amp;'Gas Useage'!$B$4:$B$15,_xlfn.XLOOKUP(D$14,'Gas Useage'!$AA$3:$AB$3,'Gas Useage'!$AA$4:$AB$15))</f>
        <v>8.948989794356903E-4</v>
      </c>
      <c r="E45" s="259" cm="1">
        <f t="array" aca="1" ref="E45" ca="1">_xlfn.XLOOKUP(E$13,INDIRECT("'"&amp;$B45&amp;" EI'!$B$6:$B$53"),_xlfn.XLOOKUP($C$10,INDIRECT("'"&amp;$B45&amp;" EI'!$D$4:$Z$4"),INDIRECT("'"&amp;$B45&amp;" EI'!$D$6:$Z$53")))*_xlfn.XLOOKUP($B45&amp;E$15,'Gas Useage'!$A$4:$A$15&amp;'Gas Useage'!$B$4:$B$15,_xlfn.XLOOKUP($C45&amp;E$14,'Gas Useage'!$C$2:$AB$2&amp;'Gas Useage'!$C$3:$AB$3,'Gas Useage'!$C$4:$AB$15))/_xlfn.XLOOKUP($B45&amp;E$15,'Gas Useage'!$A$4:$A$15&amp;'Gas Useage'!$B$4:$B$15,_xlfn.XLOOKUP(E$14,'Gas Useage'!$AA$3:$AB$3,'Gas Useage'!$AA$4:$AB$15))</f>
        <v>3.9203827772984367E-4</v>
      </c>
      <c r="F45" s="259" cm="1">
        <f t="array" aca="1" ref="F45" ca="1">_xlfn.XLOOKUP(F$13,INDIRECT("'"&amp;$B45&amp;" EI'!$B$6:$B$53"),_xlfn.XLOOKUP($C$10,INDIRECT("'"&amp;$B45&amp;" EI'!$D$4:$Z$4"),INDIRECT("'"&amp;$B45&amp;" EI'!$D$6:$Z$53")))*_xlfn.XLOOKUP($B45&amp;F$15,'Gas Useage'!$A$4:$A$15&amp;'Gas Useage'!$B$4:$B$15,_xlfn.XLOOKUP($C45&amp;F$14,'Gas Useage'!$C$2:$AB$2&amp;'Gas Useage'!$C$3:$AB$3,'Gas Useage'!$C$4:$AB$15))/_xlfn.XLOOKUP($B45&amp;F$15,'Gas Useage'!$A$4:$A$15&amp;'Gas Useage'!$B$4:$B$15,_xlfn.XLOOKUP(F$14,'Gas Useage'!$AA$3:$AB$3,'Gas Useage'!$AA$4:$AB$15))</f>
        <v>6.1893102460357523E-4</v>
      </c>
      <c r="G45" s="259" cm="1">
        <f t="array" aca="1" ref="G45" ca="1">_xlfn.XLOOKUP(G$13,INDIRECT("'"&amp;$B45&amp;" EI'!$B$6:$B$53"),_xlfn.XLOOKUP($C$10,INDIRECT("'"&amp;$B45&amp;" EI'!$D$4:$Z$4"),INDIRECT("'"&amp;$B45&amp;" EI'!$D$6:$Z$53")))*_xlfn.XLOOKUP($B45&amp;G$15,'Gas Useage'!$A$4:$A$15&amp;'Gas Useage'!$B$4:$B$15,_xlfn.XLOOKUP($C45&amp;G$14,'Gas Useage'!$C$2:$AB$2&amp;'Gas Useage'!$C$3:$AB$3,'Gas Useage'!$C$4:$AB$15))/_xlfn.XLOOKUP($B45&amp;G$15,'Gas Useage'!$A$4:$A$15&amp;'Gas Useage'!$B$4:$B$15,_xlfn.XLOOKUP(G$14,'Gas Useage'!$AA$3:$AB$3,'Gas Useage'!$AA$4:$AB$15))</f>
        <v>2.7114194841540787E-4</v>
      </c>
      <c r="H45" s="260" t="s">
        <v>278</v>
      </c>
      <c r="I45" s="260" t="s">
        <v>278</v>
      </c>
      <c r="J45" s="260" t="s">
        <v>278</v>
      </c>
      <c r="K45" s="261" t="s">
        <v>278</v>
      </c>
      <c r="N45" s="258"/>
    </row>
    <row r="46" spans="2:14" ht="13.5" x14ac:dyDescent="0.25">
      <c r="B46" s="32">
        <v>2022</v>
      </c>
      <c r="C46" s="494" t="s">
        <v>284</v>
      </c>
      <c r="D46" s="259" cm="1">
        <f t="array" aca="1" ref="D46" ca="1">_xlfn.XLOOKUP(D$13,INDIRECT("'"&amp;$B46&amp;" EI'!$B$6:$B$53"),_xlfn.XLOOKUP($C$10,INDIRECT("'"&amp;$B46&amp;" EI'!$D$4:$Z$4"),INDIRECT("'"&amp;$B46&amp;" EI'!$D$6:$Z$53")))*_xlfn.XLOOKUP($B46&amp;D$15,'Gas Useage'!$A$4:$A$15&amp;'Gas Useage'!$B$4:$B$15,_xlfn.XLOOKUP($C46&amp;D$14,'Gas Useage'!$C$2:$AB$2&amp;'Gas Useage'!$C$3:$AB$3,'Gas Useage'!$C$4:$AB$15))/_xlfn.XLOOKUP($B46&amp;D$15,'Gas Useage'!$A$4:$A$15&amp;'Gas Useage'!$B$4:$B$15,_xlfn.XLOOKUP(D$14,'Gas Useage'!$AA$3:$AB$3,'Gas Useage'!$AA$4:$AB$15))</f>
        <v>2.5929778757544327E-3</v>
      </c>
      <c r="E46" s="259" cm="1">
        <f t="array" aca="1" ref="E46" ca="1">_xlfn.XLOOKUP(E$13,INDIRECT("'"&amp;$B46&amp;" EI'!$B$6:$B$53"),_xlfn.XLOOKUP($C$10,INDIRECT("'"&amp;$B46&amp;" EI'!$D$4:$Z$4"),INDIRECT("'"&amp;$B46&amp;" EI'!$D$6:$Z$53")))*_xlfn.XLOOKUP($B46&amp;E$15,'Gas Useage'!$A$4:$A$15&amp;'Gas Useage'!$B$4:$B$15,_xlfn.XLOOKUP($C46&amp;E$14,'Gas Useage'!$C$2:$AB$2&amp;'Gas Useage'!$C$3:$AB$3,'Gas Useage'!$C$4:$AB$15))/_xlfn.XLOOKUP($B46&amp;E$15,'Gas Useage'!$A$4:$A$15&amp;'Gas Useage'!$B$4:$B$15,_xlfn.XLOOKUP(E$14,'Gas Useage'!$AA$3:$AB$3,'Gas Useage'!$AA$4:$AB$15))</f>
        <v>1.3093044085444158E-3</v>
      </c>
      <c r="F46" s="259" cm="1">
        <f t="array" aca="1" ref="F46" ca="1">_xlfn.XLOOKUP(F$13,INDIRECT("'"&amp;$B46&amp;" EI'!$B$6:$B$53"),_xlfn.XLOOKUP($C$10,INDIRECT("'"&amp;$B46&amp;" EI'!$D$4:$Z$4"),INDIRECT("'"&amp;$B46&amp;" EI'!$D$6:$Z$53")))*_xlfn.XLOOKUP($B46&amp;F$15,'Gas Useage'!$A$4:$A$15&amp;'Gas Useage'!$B$4:$B$15,_xlfn.XLOOKUP($C46&amp;F$14,'Gas Useage'!$C$2:$AB$2&amp;'Gas Useage'!$C$3:$AB$3,'Gas Useage'!$C$4:$AB$15))/_xlfn.XLOOKUP($B46&amp;F$15,'Gas Useage'!$A$4:$A$15&amp;'Gas Useage'!$B$4:$B$15,_xlfn.XLOOKUP(F$14,'Gas Useage'!$AA$3:$AB$3,'Gas Useage'!$AA$4:$AB$15))</f>
        <v>2.4510409789047878E-3</v>
      </c>
      <c r="G46" s="259" cm="1">
        <f t="array" aca="1" ref="G46" ca="1">_xlfn.XLOOKUP(G$13,INDIRECT("'"&amp;$B46&amp;" EI'!$B$6:$B$53"),_xlfn.XLOOKUP($C$10,INDIRECT("'"&amp;$B46&amp;" EI'!$D$4:$Z$4"),INDIRECT("'"&amp;$B46&amp;" EI'!$D$6:$Z$53")))*_xlfn.XLOOKUP($B46&amp;G$15,'Gas Useage'!$A$4:$A$15&amp;'Gas Useage'!$B$4:$B$15,_xlfn.XLOOKUP($C46&amp;G$14,'Gas Useage'!$C$2:$AB$2&amp;'Gas Useage'!$C$3:$AB$3,'Gas Useage'!$C$4:$AB$15))/_xlfn.XLOOKUP($B46&amp;G$15,'Gas Useage'!$A$4:$A$15&amp;'Gas Useage'!$B$4:$B$15,_xlfn.XLOOKUP(G$14,'Gas Useage'!$AA$3:$AB$3,'Gas Useage'!$AA$4:$AB$15))</f>
        <v>1.237634454659335E-3</v>
      </c>
      <c r="H46" s="260" t="s">
        <v>278</v>
      </c>
      <c r="I46" s="260" t="s">
        <v>278</v>
      </c>
      <c r="J46" s="260" t="s">
        <v>278</v>
      </c>
      <c r="K46" s="261" t="s">
        <v>278</v>
      </c>
      <c r="N46" s="258"/>
    </row>
    <row r="47" spans="2:14" ht="13.5" x14ac:dyDescent="0.25">
      <c r="B47" s="32">
        <v>2022</v>
      </c>
      <c r="C47" s="494" t="s">
        <v>285</v>
      </c>
      <c r="D47" s="259" cm="1">
        <f t="array" aca="1" ref="D47" ca="1">_xlfn.XLOOKUP(D$13,INDIRECT("'"&amp;$B47&amp;" EI'!$B$6:$B$53"),_xlfn.XLOOKUP($C$10,INDIRECT("'"&amp;$B47&amp;" EI'!$D$4:$Z$4"),INDIRECT("'"&amp;$B47&amp;" EI'!$D$6:$Z$53")))*_xlfn.XLOOKUP($B47&amp;D$15,'Gas Useage'!$A$4:$A$15&amp;'Gas Useage'!$B$4:$B$15,_xlfn.XLOOKUP($C47&amp;D$14,'Gas Useage'!$C$2:$AB$2&amp;'Gas Useage'!$C$3:$AB$3,'Gas Useage'!$C$4:$AB$15))/_xlfn.XLOOKUP($B47&amp;D$15,'Gas Useage'!$A$4:$A$15&amp;'Gas Useage'!$B$4:$B$15,_xlfn.XLOOKUP(D$14,'Gas Useage'!$AA$3:$AB$3,'Gas Useage'!$AA$4:$AB$15))</f>
        <v>6.5649916429566836E-3</v>
      </c>
      <c r="E47" s="259" cm="1">
        <f t="array" aca="1" ref="E47" ca="1">_xlfn.XLOOKUP(E$13,INDIRECT("'"&amp;$B47&amp;" EI'!$B$6:$B$53"),_xlfn.XLOOKUP($C$10,INDIRECT("'"&amp;$B47&amp;" EI'!$D$4:$Z$4"),INDIRECT("'"&amp;$B47&amp;" EI'!$D$6:$Z$53")))*_xlfn.XLOOKUP($B47&amp;E$15,'Gas Useage'!$A$4:$A$15&amp;'Gas Useage'!$B$4:$B$15,_xlfn.XLOOKUP($C47&amp;E$14,'Gas Useage'!$C$2:$AB$2&amp;'Gas Useage'!$C$3:$AB$3,'Gas Useage'!$C$4:$AB$15))/_xlfn.XLOOKUP($B47&amp;E$15,'Gas Useage'!$A$4:$A$15&amp;'Gas Useage'!$B$4:$B$15,_xlfn.XLOOKUP(E$14,'Gas Useage'!$AA$3:$AB$3,'Gas Useage'!$AA$4:$AB$15))</f>
        <v>2.3494676320769364E-3</v>
      </c>
      <c r="F47" s="259" cm="1">
        <f t="array" aca="1" ref="F47" ca="1">_xlfn.XLOOKUP(F$13,INDIRECT("'"&amp;$B47&amp;" EI'!$B$6:$B$53"),_xlfn.XLOOKUP($C$10,INDIRECT("'"&amp;$B47&amp;" EI'!$D$4:$Z$4"),INDIRECT("'"&amp;$B47&amp;" EI'!$D$6:$Z$53")))*_xlfn.XLOOKUP($B47&amp;F$15,'Gas Useage'!$A$4:$A$15&amp;'Gas Useage'!$B$4:$B$15,_xlfn.XLOOKUP($C47&amp;F$14,'Gas Useage'!$C$2:$AB$2&amp;'Gas Useage'!$C$3:$AB$3,'Gas Useage'!$C$4:$AB$15))/_xlfn.XLOOKUP($B47&amp;F$15,'Gas Useage'!$A$4:$A$15&amp;'Gas Useage'!$B$4:$B$15,_xlfn.XLOOKUP(F$14,'Gas Useage'!$AA$3:$AB$3,'Gas Useage'!$AA$4:$AB$15))</f>
        <v>4.7695330145665375E-3</v>
      </c>
      <c r="G47" s="259" cm="1">
        <f t="array" aca="1" ref="G47" ca="1">_xlfn.XLOOKUP(G$13,INDIRECT("'"&amp;$B47&amp;" EI'!$B$6:$B$53"),_xlfn.XLOOKUP($C$10,INDIRECT("'"&amp;$B47&amp;" EI'!$D$4:$Z$4"),INDIRECT("'"&amp;$B47&amp;" EI'!$D$6:$Z$53")))*_xlfn.XLOOKUP($B47&amp;G$15,'Gas Useage'!$A$4:$A$15&amp;'Gas Useage'!$B$4:$B$15,_xlfn.XLOOKUP($C47&amp;G$14,'Gas Useage'!$C$2:$AB$2&amp;'Gas Useage'!$C$3:$AB$3,'Gas Useage'!$C$4:$AB$15))/_xlfn.XLOOKUP($B47&amp;G$15,'Gas Useage'!$A$4:$A$15&amp;'Gas Useage'!$B$4:$B$15,_xlfn.XLOOKUP(G$14,'Gas Useage'!$AA$3:$AB$3,'Gas Useage'!$AA$4:$AB$15))</f>
        <v>1.706912064369303E-3</v>
      </c>
      <c r="H47" s="260" t="s">
        <v>278</v>
      </c>
      <c r="I47" s="260" t="s">
        <v>278</v>
      </c>
      <c r="J47" s="260" t="s">
        <v>278</v>
      </c>
      <c r="K47" s="261" t="s">
        <v>278</v>
      </c>
      <c r="N47" s="258"/>
    </row>
    <row r="48" spans="2:14" ht="14.25" thickBot="1" x14ac:dyDescent="0.3">
      <c r="B48" s="33">
        <v>2022</v>
      </c>
      <c r="C48" s="499" t="s">
        <v>286</v>
      </c>
      <c r="D48" s="262" cm="1">
        <f t="array" aca="1" ref="D48" ca="1">_xlfn.XLOOKUP(D$13,INDIRECT("'"&amp;$B48&amp;" EI'!$B$6:$B$53"),_xlfn.XLOOKUP($C$10,INDIRECT("'"&amp;$B48&amp;" EI'!$D$4:$Z$4"),INDIRECT("'"&amp;$B48&amp;" EI'!$D$6:$Z$53")))*_xlfn.XLOOKUP($B48&amp;D$15,'Gas Useage'!$A$4:$A$15&amp;'Gas Useage'!$B$4:$B$15,_xlfn.XLOOKUP($C48&amp;D$14,'Gas Useage'!$C$2:$AB$2&amp;'Gas Useage'!$C$3:$AB$3,'Gas Useage'!$C$4:$AB$15))/_xlfn.XLOOKUP($B48&amp;D$15,'Gas Useage'!$A$4:$A$15&amp;'Gas Useage'!$B$4:$B$15,_xlfn.XLOOKUP(D$14,'Gas Useage'!$AA$3:$AB$3,'Gas Useage'!$AA$4:$AB$15))</f>
        <v>2.2391913684670535E-3</v>
      </c>
      <c r="E48" s="262" cm="1">
        <f t="array" aca="1" ref="E48" ca="1">_xlfn.XLOOKUP(E$13,INDIRECT("'"&amp;$B48&amp;" EI'!$B$6:$B$53"),_xlfn.XLOOKUP($C$10,INDIRECT("'"&amp;$B48&amp;" EI'!$D$4:$Z$4"),INDIRECT("'"&amp;$B48&amp;" EI'!$D$6:$Z$53")))*_xlfn.XLOOKUP($B48&amp;E$15,'Gas Useage'!$A$4:$A$15&amp;'Gas Useage'!$B$4:$B$15,_xlfn.XLOOKUP($C48&amp;E$14,'Gas Useage'!$C$2:$AB$2&amp;'Gas Useage'!$C$3:$AB$3,'Gas Useage'!$C$4:$AB$15))/_xlfn.XLOOKUP($B48&amp;E$15,'Gas Useage'!$A$4:$A$15&amp;'Gas Useage'!$B$4:$B$15,_xlfn.XLOOKUP(E$14,'Gas Useage'!$AA$3:$AB$3,'Gas Useage'!$AA$4:$AB$15))</f>
        <v>9.9985549258581655E-4</v>
      </c>
      <c r="F48" s="262" cm="1">
        <f t="array" aca="1" ref="F48" ca="1">_xlfn.XLOOKUP(F$13,INDIRECT("'"&amp;$B48&amp;" EI'!$B$6:$B$53"),_xlfn.XLOOKUP($C$10,INDIRECT("'"&amp;$B48&amp;" EI'!$D$4:$Z$4"),INDIRECT("'"&amp;$B48&amp;" EI'!$D$6:$Z$53")))*_xlfn.XLOOKUP($B48&amp;F$15,'Gas Useage'!$A$4:$A$15&amp;'Gas Useage'!$B$4:$B$15,_xlfn.XLOOKUP($C48&amp;F$14,'Gas Useage'!$C$2:$AB$2&amp;'Gas Useage'!$C$3:$AB$3,'Gas Useage'!$C$4:$AB$15))/_xlfn.XLOOKUP($B48&amp;F$15,'Gas Useage'!$A$4:$A$15&amp;'Gas Useage'!$B$4:$B$15,_xlfn.XLOOKUP(F$14,'Gas Useage'!$AA$3:$AB$3,'Gas Useage'!$AA$4:$AB$15))</f>
        <v>1.2690591447212006E-3</v>
      </c>
      <c r="G48" s="262" cm="1">
        <f t="array" aca="1" ref="G48" ca="1">_xlfn.XLOOKUP(G$13,INDIRECT("'"&amp;$B48&amp;" EI'!$B$6:$B$53"),_xlfn.XLOOKUP($C$10,INDIRECT("'"&amp;$B48&amp;" EI'!$D$4:$Z$4"),INDIRECT("'"&amp;$B48&amp;" EI'!$D$6:$Z$53")))*_xlfn.XLOOKUP($B48&amp;G$15,'Gas Useage'!$A$4:$A$15&amp;'Gas Useage'!$B$4:$B$15,_xlfn.XLOOKUP($C48&amp;G$14,'Gas Useage'!$C$2:$AB$2&amp;'Gas Useage'!$C$3:$AB$3,'Gas Useage'!$C$4:$AB$15))/_xlfn.XLOOKUP($B48&amp;G$15,'Gas Useage'!$A$4:$A$15&amp;'Gas Useage'!$B$4:$B$15,_xlfn.XLOOKUP(G$14,'Gas Useage'!$AA$3:$AB$3,'Gas Useage'!$AA$4:$AB$15))</f>
        <v>5.6666695581915393E-4</v>
      </c>
      <c r="H48" s="263">
        <f t="shared" ref="H48:K51" ca="1" si="0">IFERROR(SUM(D25:D48)/2,"--")</f>
        <v>4.7061036478120502E-2</v>
      </c>
      <c r="I48" s="263">
        <f t="shared" ca="1" si="0"/>
        <v>1.5644687326707922E-2</v>
      </c>
      <c r="J48" s="263">
        <f t="shared" ca="1" si="0"/>
        <v>4.7612694191261878E-2</v>
      </c>
      <c r="K48" s="264">
        <f t="shared" ca="1" si="0"/>
        <v>1.53451069138159E-2</v>
      </c>
      <c r="N48" s="258"/>
    </row>
    <row r="49" spans="2:14" ht="13.5" hidden="1" x14ac:dyDescent="0.25">
      <c r="B49" s="495">
        <v>2022</v>
      </c>
      <c r="C49" s="284" t="s">
        <v>287</v>
      </c>
      <c r="D49" s="496" cm="1">
        <f t="array" aca="1" ref="D49" ca="1">_xlfn.XLOOKUP(D$13,INDIRECT("'"&amp;$B49&amp;" EI'!$B$6:$B$53"),_xlfn.XLOOKUP($C$10,INDIRECT("'"&amp;$B49&amp;" EI'!$D$4:$Z$4"),INDIRECT("'"&amp;$B49&amp;" EI'!$D$6:$Z$53")))*_xlfn.XLOOKUP($B49&amp;D$15,'Gas Useage'!$A$4:$A$15&amp;'Gas Useage'!$B$4:$B$15,_xlfn.XLOOKUP($C49&amp;D$14,'Gas Useage'!$C$2:$AB$2&amp;'Gas Useage'!$C$3:$AB$3,'Gas Useage'!$C$4:$AB$15))/_xlfn.XLOOKUP($B49&amp;D$15,'Gas Useage'!$A$4:$A$15&amp;'Gas Useage'!$B$4:$B$15,_xlfn.XLOOKUP(D$14,'Gas Useage'!$AA$3:$AB$3,'Gas Useage'!$AA$4:$AB$15))</f>
        <v>1.5788887550280027E-3</v>
      </c>
      <c r="E49" s="496" cm="1">
        <f t="array" aca="1" ref="E49" ca="1">_xlfn.XLOOKUP(E$13,INDIRECT("'"&amp;$B49&amp;" EI'!$B$6:$B$53"),_xlfn.XLOOKUP($C$10,INDIRECT("'"&amp;$B49&amp;" EI'!$D$4:$Z$4"),INDIRECT("'"&amp;$B49&amp;" EI'!$D$6:$Z$53")))*_xlfn.XLOOKUP($B49&amp;E$15,'Gas Useage'!$A$4:$A$15&amp;'Gas Useage'!$B$4:$B$15,_xlfn.XLOOKUP($C49&amp;E$14,'Gas Useage'!$C$2:$AB$2&amp;'Gas Useage'!$C$3:$AB$3,'Gas Useage'!$C$4:$AB$15))/_xlfn.XLOOKUP($B49&amp;E$15,'Gas Useage'!$A$4:$A$15&amp;'Gas Useage'!$B$4:$B$15,_xlfn.XLOOKUP(E$14,'Gas Useage'!$AA$3:$AB$3,'Gas Useage'!$AA$4:$AB$15))</f>
        <v>1.0618199341590143E-3</v>
      </c>
      <c r="F49" s="496" cm="1">
        <f t="array" aca="1" ref="F49" ca="1">_xlfn.XLOOKUP(F$13,INDIRECT("'"&amp;$B49&amp;" EI'!$B$6:$B$53"),_xlfn.XLOOKUP($C$10,INDIRECT("'"&amp;$B49&amp;" EI'!$D$4:$Z$4"),INDIRECT("'"&amp;$B49&amp;" EI'!$D$6:$Z$53")))*_xlfn.XLOOKUP($B49&amp;F$15,'Gas Useage'!$A$4:$A$15&amp;'Gas Useage'!$B$4:$B$15,_xlfn.XLOOKUP($C49&amp;F$14,'Gas Useage'!$C$2:$AB$2&amp;'Gas Useage'!$C$3:$AB$3,'Gas Useage'!$C$4:$AB$15))/_xlfn.XLOOKUP($B49&amp;F$15,'Gas Useage'!$A$4:$A$15&amp;'Gas Useage'!$B$4:$B$15,_xlfn.XLOOKUP(F$14,'Gas Useage'!$AA$3:$AB$3,'Gas Useage'!$AA$4:$AB$15))</f>
        <v>1.1923633990030798E-3</v>
      </c>
      <c r="G49" s="496" cm="1">
        <f t="array" aca="1" ref="G49" ca="1">_xlfn.XLOOKUP(G$13,INDIRECT("'"&amp;$B49&amp;" EI'!$B$6:$B$53"),_xlfn.XLOOKUP($C$10,INDIRECT("'"&amp;$B49&amp;" EI'!$D$4:$Z$4"),INDIRECT("'"&amp;$B49&amp;" EI'!$D$6:$Z$53")))*_xlfn.XLOOKUP($B49&amp;G$15,'Gas Useage'!$A$4:$A$15&amp;'Gas Useage'!$B$4:$B$15,_xlfn.XLOOKUP($C49&amp;G$14,'Gas Useage'!$C$2:$AB$2&amp;'Gas Useage'!$C$3:$AB$3,'Gas Useage'!$C$4:$AB$15))/_xlfn.XLOOKUP($B49&amp;G$15,'Gas Useage'!$A$4:$A$15&amp;'Gas Useage'!$B$4:$B$15,_xlfn.XLOOKUP(G$14,'Gas Useage'!$AA$3:$AB$3,'Gas Useage'!$AA$4:$AB$15))</f>
        <v>8.0187741016662939E-4</v>
      </c>
      <c r="H49" s="497">
        <f t="shared" ca="1" si="0"/>
        <v>4.6869529405763437E-2</v>
      </c>
      <c r="I49" s="497">
        <f t="shared" ca="1" si="0"/>
        <v>1.5836167251154758E-2</v>
      </c>
      <c r="J49" s="497">
        <f t="shared" ca="1" si="0"/>
        <v>4.5940270867113615E-2</v>
      </c>
      <c r="K49" s="498">
        <f t="shared" ca="1" si="0"/>
        <v>1.496106008266767E-2</v>
      </c>
      <c r="N49" s="258"/>
    </row>
    <row r="50" spans="2:14" ht="13.5" hidden="1" x14ac:dyDescent="0.25">
      <c r="B50" s="283">
        <v>2022</v>
      </c>
      <c r="C50" s="284" t="s">
        <v>288</v>
      </c>
      <c r="D50" s="290" cm="1">
        <f t="array" aca="1" ref="D50" ca="1">_xlfn.XLOOKUP(D$13,INDIRECT("'"&amp;$B50&amp;" EI'!$B$6:$B$53"),_xlfn.XLOOKUP($C$10,INDIRECT("'"&amp;$B50&amp;" EI'!$D$4:$Z$4"),INDIRECT("'"&amp;$B50&amp;" EI'!$D$6:$Z$53")))*_xlfn.XLOOKUP($B50&amp;D$15,'Gas Useage'!$A$4:$A$15&amp;'Gas Useage'!$B$4:$B$15,_xlfn.XLOOKUP($C50&amp;D$14,'Gas Useage'!$C$2:$AB$2&amp;'Gas Useage'!$C$3:$AB$3,'Gas Useage'!$C$4:$AB$15))/_xlfn.XLOOKUP($B50&amp;D$15,'Gas Useage'!$A$4:$A$15&amp;'Gas Useage'!$B$4:$B$15,_xlfn.XLOOKUP(D$14,'Gas Useage'!$AA$3:$AB$3,'Gas Useage'!$AA$4:$AB$15))</f>
        <v>2.4035075314412227E-6</v>
      </c>
      <c r="E50" s="290" cm="1">
        <f t="array" aca="1" ref="E50" ca="1">_xlfn.XLOOKUP(E$13,INDIRECT("'"&amp;$B50&amp;" EI'!$B$6:$B$53"),_xlfn.XLOOKUP($C$10,INDIRECT("'"&amp;$B50&amp;" EI'!$D$4:$Z$4"),INDIRECT("'"&amp;$B50&amp;" EI'!$D$6:$Z$53")))*_xlfn.XLOOKUP($B50&amp;E$15,'Gas Useage'!$A$4:$A$15&amp;'Gas Useage'!$B$4:$B$15,_xlfn.XLOOKUP($C50&amp;E$14,'Gas Useage'!$C$2:$AB$2&amp;'Gas Useage'!$C$3:$AB$3,'Gas Useage'!$C$4:$AB$15))/_xlfn.XLOOKUP($B50&amp;E$15,'Gas Useage'!$A$4:$A$15&amp;'Gas Useage'!$B$4:$B$15,_xlfn.XLOOKUP(E$14,'Gas Useage'!$AA$3:$AB$3,'Gas Useage'!$AA$4:$AB$15))</f>
        <v>1.125472933985669E-6</v>
      </c>
      <c r="F50" s="290" cm="1">
        <f t="array" aca="1" ref="F50" ca="1">_xlfn.XLOOKUP(F$13,INDIRECT("'"&amp;$B50&amp;" EI'!$B$6:$B$53"),_xlfn.XLOOKUP($C$10,INDIRECT("'"&amp;$B50&amp;" EI'!$D$4:$Z$4"),INDIRECT("'"&amp;$B50&amp;" EI'!$D$6:$Z$53")))*_xlfn.XLOOKUP($B50&amp;F$15,'Gas Useage'!$A$4:$A$15&amp;'Gas Useage'!$B$4:$B$15,_xlfn.XLOOKUP($C50&amp;F$14,'Gas Useage'!$C$2:$AB$2&amp;'Gas Useage'!$C$3:$AB$3,'Gas Useage'!$C$4:$AB$15))/_xlfn.XLOOKUP($B50&amp;F$15,'Gas Useage'!$A$4:$A$15&amp;'Gas Useage'!$B$4:$B$15,_xlfn.XLOOKUP(F$14,'Gas Useage'!$AA$3:$AB$3,'Gas Useage'!$AA$4:$AB$15))</f>
        <v>2.0226905063060557E-6</v>
      </c>
      <c r="G50" s="290" cm="1">
        <f t="array" aca="1" ref="G50" ca="1">_xlfn.XLOOKUP(G$13,INDIRECT("'"&amp;$B50&amp;" EI'!$B$6:$B$53"),_xlfn.XLOOKUP($C$10,INDIRECT("'"&amp;$B50&amp;" EI'!$D$4:$Z$4"),INDIRECT("'"&amp;$B50&amp;" EI'!$D$6:$Z$53")))*_xlfn.XLOOKUP($B50&amp;G$15,'Gas Useage'!$A$4:$A$15&amp;'Gas Useage'!$B$4:$B$15,_xlfn.XLOOKUP($C50&amp;G$14,'Gas Useage'!$C$2:$AB$2&amp;'Gas Useage'!$C$3:$AB$3,'Gas Useage'!$C$4:$AB$15))/_xlfn.XLOOKUP($B50&amp;G$15,'Gas Useage'!$A$4:$A$15&amp;'Gas Useage'!$B$4:$B$15,_xlfn.XLOOKUP(G$14,'Gas Useage'!$AA$3:$AB$3,'Gas Useage'!$AA$4:$AB$15))</f>
        <v>9.4715052434729802E-7</v>
      </c>
      <c r="H50" s="291">
        <f t="shared" ca="1" si="0"/>
        <v>4.4755601591973816E-2</v>
      </c>
      <c r="I50" s="291">
        <f t="shared" ca="1" si="0"/>
        <v>1.4847979359762726E-2</v>
      </c>
      <c r="J50" s="291">
        <f t="shared" ca="1" si="0"/>
        <v>4.2739592251054927E-2</v>
      </c>
      <c r="K50" s="292">
        <f t="shared" ca="1" si="0"/>
        <v>1.3464853261600324E-2</v>
      </c>
      <c r="N50" s="258"/>
    </row>
    <row r="51" spans="2:14" ht="14.25" hidden="1" thickBot="1" x14ac:dyDescent="0.3">
      <c r="B51" s="285">
        <v>2022</v>
      </c>
      <c r="C51" s="286" t="s">
        <v>289</v>
      </c>
      <c r="D51" s="287" cm="1">
        <f t="array" aca="1" ref="D51" ca="1">_xlfn.XLOOKUP(D$13,INDIRECT("'"&amp;$B51&amp;" EI'!$B$6:$B$53"),_xlfn.XLOOKUP($C$10,INDIRECT("'"&amp;$B51&amp;" EI'!$D$4:$Z$4"),INDIRECT("'"&amp;$B51&amp;" EI'!$D$6:$Z$53")))*_xlfn.XLOOKUP($B51&amp;D$15,'Gas Useage'!$A$4:$A$15&amp;'Gas Useage'!$B$4:$B$15,_xlfn.XLOOKUP($C51&amp;D$14,'Gas Useage'!$C$2:$AB$2&amp;'Gas Useage'!$C$3:$AB$3,'Gas Useage'!$C$4:$AB$15))/_xlfn.XLOOKUP($B51&amp;D$15,'Gas Useage'!$A$4:$A$15&amp;'Gas Useage'!$B$4:$B$15,_xlfn.XLOOKUP(D$14,'Gas Useage'!$AA$3:$AB$3,'Gas Useage'!$AA$4:$AB$15))</f>
        <v>8.0495158519002543E-7</v>
      </c>
      <c r="E51" s="287" cm="1">
        <f t="array" aca="1" ref="E51" ca="1">_xlfn.XLOOKUP(E$13,INDIRECT("'"&amp;$B51&amp;" EI'!$B$6:$B$53"),_xlfn.XLOOKUP($C$10,INDIRECT("'"&amp;$B51&amp;" EI'!$D$4:$Z$4"),INDIRECT("'"&amp;$B51&amp;" EI'!$D$6:$Z$53")))*_xlfn.XLOOKUP($B51&amp;E$15,'Gas Useage'!$A$4:$A$15&amp;'Gas Useage'!$B$4:$B$15,_xlfn.XLOOKUP($C51&amp;E$14,'Gas Useage'!$C$2:$AB$2&amp;'Gas Useage'!$C$3:$AB$3,'Gas Useage'!$C$4:$AB$15))/_xlfn.XLOOKUP($B51&amp;E$15,'Gas Useage'!$A$4:$A$15&amp;'Gas Useage'!$B$4:$B$15,_xlfn.XLOOKUP(E$14,'Gas Useage'!$AA$3:$AB$3,'Gas Useage'!$AA$4:$AB$15))</f>
        <v>4.110055888985946E-7</v>
      </c>
      <c r="F51" s="287" cm="1">
        <f t="array" aca="1" ref="F51" ca="1">_xlfn.XLOOKUP(F$13,INDIRECT("'"&amp;$B51&amp;" EI'!$B$6:$B$53"),_xlfn.XLOOKUP($C$10,INDIRECT("'"&amp;$B51&amp;" EI'!$D$4:$Z$4"),INDIRECT("'"&amp;$B51&amp;" EI'!$D$6:$Z$53")))*_xlfn.XLOOKUP($B51&amp;F$15,'Gas Useage'!$A$4:$A$15&amp;'Gas Useage'!$B$4:$B$15,_xlfn.XLOOKUP($C51&amp;F$14,'Gas Useage'!$C$2:$AB$2&amp;'Gas Useage'!$C$3:$AB$3,'Gas Useage'!$C$4:$AB$15))/_xlfn.XLOOKUP($B51&amp;F$15,'Gas Useage'!$A$4:$A$15&amp;'Gas Useage'!$B$4:$B$15,_xlfn.XLOOKUP(F$14,'Gas Useage'!$AA$3:$AB$3,'Gas Useage'!$AA$4:$AB$15))</f>
        <v>5.8259244053513195E-7</v>
      </c>
      <c r="G51" s="287" cm="1">
        <f t="array" aca="1" ref="G51" ca="1">_xlfn.XLOOKUP(G$13,INDIRECT("'"&amp;$B51&amp;" EI'!$B$6:$B$53"),_xlfn.XLOOKUP($C$10,INDIRECT("'"&amp;$B51&amp;" EI'!$D$4:$Z$4"),INDIRECT("'"&amp;$B51&amp;" EI'!$D$6:$Z$53")))*_xlfn.XLOOKUP($B51&amp;G$15,'Gas Useage'!$A$4:$A$15&amp;'Gas Useage'!$B$4:$B$15,_xlfn.XLOOKUP($C51&amp;G$14,'Gas Useage'!$C$2:$AB$2&amp;'Gas Useage'!$C$3:$AB$3,'Gas Useage'!$C$4:$AB$15))/_xlfn.XLOOKUP($B51&amp;G$15,'Gas Useage'!$A$4:$A$15&amp;'Gas Useage'!$B$4:$B$15,_xlfn.XLOOKUP(G$14,'Gas Useage'!$AA$3:$AB$3,'Gas Useage'!$AA$4:$AB$15))</f>
        <v>2.9746975285909218E-7</v>
      </c>
      <c r="H51" s="288">
        <f t="shared" ca="1" si="0"/>
        <v>4.2640874500211076E-2</v>
      </c>
      <c r="I51" s="288">
        <f t="shared" ca="1" si="0"/>
        <v>1.3859434234698147E-2</v>
      </c>
      <c r="J51" s="288">
        <f t="shared" ca="1" si="0"/>
        <v>3.9538193585963367E-2</v>
      </c>
      <c r="K51" s="289">
        <f t="shared" ca="1" si="0"/>
        <v>1.1968321600147235E-2</v>
      </c>
      <c r="N51" s="258"/>
    </row>
    <row r="53" spans="2:14" x14ac:dyDescent="0.2">
      <c r="B53" s="265"/>
      <c r="C53" s="265"/>
    </row>
    <row r="54" spans="2:14" x14ac:dyDescent="0.2">
      <c r="B54" s="266"/>
      <c r="C54" s="266"/>
      <c r="D54" s="267"/>
      <c r="E54" s="267"/>
      <c r="F54" s="267"/>
      <c r="G54" s="267"/>
    </row>
    <row r="55" spans="2:14" x14ac:dyDescent="0.2">
      <c r="B55" s="266"/>
      <c r="C55" s="266"/>
      <c r="D55" s="267"/>
      <c r="E55" s="267"/>
      <c r="F55" s="267"/>
      <c r="G55" s="267"/>
    </row>
    <row r="56" spans="2:14" x14ac:dyDescent="0.2">
      <c r="B56" s="266"/>
      <c r="C56" s="266"/>
      <c r="D56" s="267"/>
      <c r="E56" s="267"/>
      <c r="F56" s="267"/>
      <c r="G56" s="267"/>
    </row>
    <row r="57" spans="2:14" x14ac:dyDescent="0.2">
      <c r="B57" s="266"/>
      <c r="C57" s="266"/>
      <c r="D57" s="267"/>
      <c r="E57" s="267"/>
      <c r="F57" s="267"/>
      <c r="G57" s="267"/>
    </row>
    <row r="58" spans="2:14" x14ac:dyDescent="0.2">
      <c r="B58" s="266"/>
      <c r="C58" s="266"/>
      <c r="D58" s="267"/>
      <c r="E58" s="267"/>
      <c r="F58" s="267"/>
      <c r="G58" s="267"/>
      <c r="H58" s="267"/>
      <c r="I58" s="267"/>
      <c r="J58" s="267"/>
      <c r="K58" s="267"/>
    </row>
    <row r="61" spans="2:14" x14ac:dyDescent="0.2">
      <c r="B61" s="265"/>
      <c r="C61" s="265"/>
      <c r="D61" s="268"/>
    </row>
    <row r="62" spans="2:14" x14ac:dyDescent="0.2">
      <c r="B62" s="266"/>
      <c r="C62" s="266"/>
    </row>
    <row r="63" spans="2:14" x14ac:dyDescent="0.2">
      <c r="B63" s="266"/>
      <c r="C63" s="266"/>
    </row>
    <row r="64" spans="2:14" x14ac:dyDescent="0.2">
      <c r="B64" s="266"/>
      <c r="C64" s="266"/>
    </row>
    <row r="65" spans="2:3" x14ac:dyDescent="0.2">
      <c r="B65" s="266"/>
      <c r="C65" s="266"/>
    </row>
    <row r="66" spans="2:3" x14ac:dyDescent="0.2">
      <c r="B66" s="266"/>
      <c r="C66" s="266"/>
    </row>
    <row r="68" spans="2:3" x14ac:dyDescent="0.2">
      <c r="B68" s="266"/>
      <c r="C68" s="266"/>
    </row>
    <row r="70" spans="2:3" x14ac:dyDescent="0.2">
      <c r="B70" s="265"/>
      <c r="C70" s="265"/>
    </row>
  </sheetData>
  <mergeCells count="2">
    <mergeCell ref="D12:G12"/>
    <mergeCell ref="H12:K12"/>
  </mergeCells>
  <pageMargins left="0.7" right="0.7" top="0.75" bottom="0.75" header="0.3" footer="0.3"/>
  <pageSetup scale="66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A6047-8860-4533-AA41-0E94461CC86A}">
  <sheetPr>
    <tabColor theme="1"/>
  </sheetPr>
  <dimension ref="B1:U70"/>
  <sheetViews>
    <sheetView view="pageBreakPreview" zoomScale="60" zoomScaleNormal="100" workbookViewId="0">
      <selection activeCell="V52" sqref="V52"/>
    </sheetView>
  </sheetViews>
  <sheetFormatPr defaultColWidth="9.140625" defaultRowHeight="12.75" x14ac:dyDescent="0.2"/>
  <cols>
    <col min="1" max="1" width="4.28515625" style="252" customWidth="1"/>
    <col min="2" max="2" width="12" style="252" customWidth="1"/>
    <col min="3" max="3" width="18.85546875" style="252" customWidth="1"/>
    <col min="4" max="7" width="8.85546875" style="252" bestFit="1" customWidth="1"/>
    <col min="8" max="13" width="9.140625" style="252"/>
    <col min="14" max="14" width="11.140625" style="252" bestFit="1" customWidth="1"/>
    <col min="15" max="15" width="17.28515625" style="252" customWidth="1"/>
    <col min="16" max="16" width="15.42578125" style="252" customWidth="1"/>
    <col min="17" max="16384" width="9.140625" style="252"/>
  </cols>
  <sheetData>
    <row r="1" spans="2:21" s="18" customFormat="1" x14ac:dyDescent="0.2">
      <c r="B1" s="28"/>
      <c r="C1" s="28"/>
      <c r="F1" s="19"/>
      <c r="G1" s="19"/>
    </row>
    <row r="2" spans="2:21" s="18" customFormat="1" x14ac:dyDescent="0.2">
      <c r="B2" s="28"/>
      <c r="C2" s="28"/>
      <c r="F2" s="19"/>
      <c r="G2" s="19"/>
    </row>
    <row r="3" spans="2:21" x14ac:dyDescent="0.2">
      <c r="B3" s="20"/>
      <c r="C3" s="20"/>
    </row>
    <row r="4" spans="2:21" x14ac:dyDescent="0.2">
      <c r="B4" s="24" t="s">
        <v>0</v>
      </c>
      <c r="C4" s="25" t="s">
        <v>261</v>
      </c>
    </row>
    <row r="5" spans="2:21" x14ac:dyDescent="0.2">
      <c r="B5" s="24" t="s">
        <v>79</v>
      </c>
      <c r="C5" s="25" t="s">
        <v>4</v>
      </c>
    </row>
    <row r="6" spans="2:21" x14ac:dyDescent="0.2">
      <c r="B6" s="24" t="s">
        <v>80</v>
      </c>
      <c r="C6" s="25" t="s">
        <v>262</v>
      </c>
    </row>
    <row r="7" spans="2:21" x14ac:dyDescent="0.2">
      <c r="B7" s="20"/>
      <c r="C7" s="20"/>
    </row>
    <row r="8" spans="2:21" x14ac:dyDescent="0.2">
      <c r="B8" s="26"/>
      <c r="C8" s="26"/>
    </row>
    <row r="9" spans="2:21" x14ac:dyDescent="0.2">
      <c r="B9" s="26"/>
      <c r="C9" s="26"/>
    </row>
    <row r="10" spans="2:21" x14ac:dyDescent="0.2">
      <c r="B10" s="27" t="s">
        <v>263</v>
      </c>
      <c r="C10" s="35" t="s">
        <v>296</v>
      </c>
    </row>
    <row r="11" spans="2:21" s="253" customFormat="1" ht="15" customHeight="1" thickBot="1" x14ac:dyDescent="0.25">
      <c r="O11" s="252"/>
      <c r="P11" s="252"/>
      <c r="Q11" s="252"/>
      <c r="R11" s="252"/>
      <c r="S11" s="252"/>
      <c r="T11" s="252"/>
      <c r="U11" s="252"/>
    </row>
    <row r="12" spans="2:21" ht="16.5" customHeight="1" thickBot="1" x14ac:dyDescent="0.25">
      <c r="B12" s="30"/>
      <c r="C12" s="30"/>
      <c r="D12" s="552" t="s">
        <v>265</v>
      </c>
      <c r="E12" s="553"/>
      <c r="F12" s="553"/>
      <c r="G12" s="554"/>
      <c r="H12" s="552" t="s">
        <v>266</v>
      </c>
      <c r="I12" s="553"/>
      <c r="J12" s="553"/>
      <c r="K12" s="554"/>
      <c r="L12" s="254"/>
    </row>
    <row r="13" spans="2:21" ht="27.75" thickBot="1" x14ac:dyDescent="0.25">
      <c r="B13" s="29" t="s">
        <v>267</v>
      </c>
      <c r="C13" s="29" t="s">
        <v>268</v>
      </c>
      <c r="D13" s="531" t="s">
        <v>269</v>
      </c>
      <c r="E13" s="532" t="s">
        <v>270</v>
      </c>
      <c r="F13" s="532" t="s">
        <v>271</v>
      </c>
      <c r="G13" s="533" t="s">
        <v>272</v>
      </c>
      <c r="H13" s="531" t="s">
        <v>269</v>
      </c>
      <c r="I13" s="532" t="s">
        <v>270</v>
      </c>
      <c r="J13" s="532" t="s">
        <v>271</v>
      </c>
      <c r="K13" s="533" t="s">
        <v>272</v>
      </c>
    </row>
    <row r="14" spans="2:21" ht="27.75" thickBot="1" x14ac:dyDescent="0.25">
      <c r="B14" s="199"/>
      <c r="C14" s="199"/>
      <c r="D14" s="531" t="s">
        <v>273</v>
      </c>
      <c r="E14" s="532" t="s">
        <v>274</v>
      </c>
      <c r="F14" s="532" t="s">
        <v>273</v>
      </c>
      <c r="G14" s="533" t="s">
        <v>274</v>
      </c>
      <c r="H14" s="531"/>
      <c r="I14" s="532"/>
      <c r="J14" s="532"/>
      <c r="K14" s="533"/>
    </row>
    <row r="15" spans="2:21" ht="14.25" thickBot="1" x14ac:dyDescent="0.25">
      <c r="B15" s="199"/>
      <c r="C15" s="199"/>
      <c r="D15" s="534" t="s">
        <v>275</v>
      </c>
      <c r="E15" s="535" t="s">
        <v>275</v>
      </c>
      <c r="F15" s="535" t="s">
        <v>276</v>
      </c>
      <c r="G15" s="536" t="s">
        <v>276</v>
      </c>
      <c r="H15" s="534"/>
      <c r="I15" s="535"/>
      <c r="J15" s="535"/>
      <c r="K15" s="536"/>
    </row>
    <row r="16" spans="2:21" ht="13.5" hidden="1" x14ac:dyDescent="0.25">
      <c r="B16" s="31">
        <v>2020</v>
      </c>
      <c r="C16" s="197" t="s">
        <v>277</v>
      </c>
      <c r="D16" s="255" cm="1">
        <f t="array" aca="1" ref="D16" ca="1">_xlfn.XLOOKUP(D$13,INDIRECT("'"&amp;$B16&amp;" EI'!$B$6:$B$53"),_xlfn.XLOOKUP($C$10,INDIRECT("'"&amp;$B16&amp;" EI'!$D$4:$Z$4"),INDIRECT("'"&amp;$B16&amp;" EI'!$D$6:$Z$53")))*_xlfn.XLOOKUP($B16&amp;D$15,'Gas Useage'!$A$4:$A$15&amp;'Gas Useage'!$B$4:$B$15,_xlfn.XLOOKUP($C16&amp;D$14,'Gas Useage'!$C$2:$AB$2&amp;'Gas Useage'!$C$3:$AB$3,'Gas Useage'!$C$4:$AB$15))/_xlfn.XLOOKUP($B16&amp;D$15,'Gas Useage'!$A$4:$A$15&amp;'Gas Useage'!$B$4:$B$15,_xlfn.XLOOKUP(D$14,'Gas Useage'!$AA$3:$AB$3,'Gas Useage'!$AA$4:$AB$15))</f>
        <v>7.7026544804943437E-4</v>
      </c>
      <c r="E16" s="255" cm="1">
        <f t="array" aca="1" ref="E16" ca="1">_xlfn.XLOOKUP(E$13,INDIRECT("'"&amp;$B16&amp;" EI'!$B$6:$B$53"),_xlfn.XLOOKUP($C$10,INDIRECT("'"&amp;$B16&amp;" EI'!$D$4:$Z$4"),INDIRECT("'"&amp;$B16&amp;" EI'!$D$6:$Z$53")))*_xlfn.XLOOKUP($B16&amp;E$15,'Gas Useage'!$A$4:$A$15&amp;'Gas Useage'!$B$4:$B$15,_xlfn.XLOOKUP($C16&amp;E$14,'Gas Useage'!$C$2:$AB$2&amp;'Gas Useage'!$C$3:$AB$3,'Gas Useage'!$C$4:$AB$15))/_xlfn.XLOOKUP($B16&amp;E$15,'Gas Useage'!$A$4:$A$15&amp;'Gas Useage'!$B$4:$B$15,_xlfn.XLOOKUP(E$14,'Gas Useage'!$AA$3:$AB$3,'Gas Useage'!$AA$4:$AB$15))</f>
        <v>5.5114437967497699E-5</v>
      </c>
      <c r="F16" s="255" cm="1">
        <f t="array" aca="1" ref="F16" ca="1">_xlfn.XLOOKUP(F$13,INDIRECT("'"&amp;$B16&amp;" EI'!$B$6:$B$53"),_xlfn.XLOOKUP($C$10,INDIRECT("'"&amp;$B16&amp;" EI'!$D$4:$Z$4"),INDIRECT("'"&amp;$B16&amp;" EI'!$D$6:$Z$53")))*_xlfn.XLOOKUP($B16&amp;F$15,'Gas Useage'!$A$4:$A$15&amp;'Gas Useage'!$B$4:$B$15,_xlfn.XLOOKUP($C16&amp;F$14,'Gas Useage'!$C$2:$AB$2&amp;'Gas Useage'!$C$3:$AB$3,'Gas Useage'!$C$4:$AB$15))/_xlfn.XLOOKUP($B16&amp;F$15,'Gas Useage'!$A$4:$A$15&amp;'Gas Useage'!$B$4:$B$15,_xlfn.XLOOKUP(F$14,'Gas Useage'!$AA$3:$AB$3,'Gas Useage'!$AA$4:$AB$15))</f>
        <v>1.0083903808640773E-3</v>
      </c>
      <c r="G16" s="255" cm="1">
        <f t="array" aca="1" ref="G16" ca="1">_xlfn.XLOOKUP(G$13,INDIRECT("'"&amp;$B16&amp;" EI'!$B$6:$B$53"),_xlfn.XLOOKUP($C$10,INDIRECT("'"&amp;$B16&amp;" EI'!$D$4:$Z$4"),INDIRECT("'"&amp;$B16&amp;" EI'!$D$6:$Z$53")))*_xlfn.XLOOKUP($B16&amp;G$15,'Gas Useage'!$A$4:$A$15&amp;'Gas Useage'!$B$4:$B$15,_xlfn.XLOOKUP($C16&amp;G$14,'Gas Useage'!$C$2:$AB$2&amp;'Gas Useage'!$C$3:$AB$3,'Gas Useage'!$C$4:$AB$15))/_xlfn.XLOOKUP($B16&amp;G$15,'Gas Useage'!$A$4:$A$15&amp;'Gas Useage'!$B$4:$B$15,_xlfn.XLOOKUP(G$14,'Gas Useage'!$AA$3:$AB$3,'Gas Useage'!$AA$4:$AB$15))</f>
        <v>7.21528782498209E-5</v>
      </c>
      <c r="H16" s="256" t="s">
        <v>278</v>
      </c>
      <c r="I16" s="256" t="s">
        <v>278</v>
      </c>
      <c r="J16" s="256" t="s">
        <v>278</v>
      </c>
      <c r="K16" s="257" t="s">
        <v>278</v>
      </c>
      <c r="N16" s="258"/>
    </row>
    <row r="17" spans="2:14" ht="13.5" hidden="1" x14ac:dyDescent="0.25">
      <c r="B17" s="32">
        <v>2020</v>
      </c>
      <c r="C17" s="198" t="s">
        <v>279</v>
      </c>
      <c r="D17" s="259" cm="1">
        <f t="array" aca="1" ref="D17" ca="1">_xlfn.XLOOKUP(D$13,INDIRECT("'"&amp;$B17&amp;" EI'!$B$6:$B$53"),_xlfn.XLOOKUP($C$10,INDIRECT("'"&amp;$B17&amp;" EI'!$D$4:$Z$4"),INDIRECT("'"&amp;$B17&amp;" EI'!$D$6:$Z$53")))*_xlfn.XLOOKUP($B17&amp;D$15,'Gas Useage'!$A$4:$A$15&amp;'Gas Useage'!$B$4:$B$15,_xlfn.XLOOKUP($C17&amp;D$14,'Gas Useage'!$C$2:$AB$2&amp;'Gas Useage'!$C$3:$AB$3,'Gas Useage'!$C$4:$AB$15))/_xlfn.XLOOKUP($B17&amp;D$15,'Gas Useage'!$A$4:$A$15&amp;'Gas Useage'!$B$4:$B$15,_xlfn.XLOOKUP(D$14,'Gas Useage'!$AA$3:$AB$3,'Gas Useage'!$AA$4:$AB$15))</f>
        <v>1.2769376263465817E-3</v>
      </c>
      <c r="E17" s="259" cm="1">
        <f t="array" aca="1" ref="E17" ca="1">_xlfn.XLOOKUP(E$13,INDIRECT("'"&amp;$B17&amp;" EI'!$B$6:$B$53"),_xlfn.XLOOKUP($C$10,INDIRECT("'"&amp;$B17&amp;" EI'!$D$4:$Z$4"),INDIRECT("'"&amp;$B17&amp;" EI'!$D$6:$Z$53")))*_xlfn.XLOOKUP($B17&amp;E$15,'Gas Useage'!$A$4:$A$15&amp;'Gas Useage'!$B$4:$B$15,_xlfn.XLOOKUP($C17&amp;E$14,'Gas Useage'!$C$2:$AB$2&amp;'Gas Useage'!$C$3:$AB$3,'Gas Useage'!$C$4:$AB$15))/_xlfn.XLOOKUP($B17&amp;E$15,'Gas Useage'!$A$4:$A$15&amp;'Gas Useage'!$B$4:$B$15,_xlfn.XLOOKUP(E$14,'Gas Useage'!$AA$3:$AB$3,'Gas Useage'!$AA$4:$AB$15))</f>
        <v>1.1437385334361323E-4</v>
      </c>
      <c r="F17" s="259" cm="1">
        <f t="array" aca="1" ref="F17" ca="1">_xlfn.XLOOKUP(F$13,INDIRECT("'"&amp;$B17&amp;" EI'!$B$6:$B$53"),_xlfn.XLOOKUP($C$10,INDIRECT("'"&amp;$B17&amp;" EI'!$D$4:$Z$4"),INDIRECT("'"&amp;$B17&amp;" EI'!$D$6:$Z$53")))*_xlfn.XLOOKUP($B17&amp;F$15,'Gas Useage'!$A$4:$A$15&amp;'Gas Useage'!$B$4:$B$15,_xlfn.XLOOKUP($C17&amp;F$14,'Gas Useage'!$C$2:$AB$2&amp;'Gas Useage'!$C$3:$AB$3,'Gas Useage'!$C$4:$AB$15))/_xlfn.XLOOKUP($B17&amp;F$15,'Gas Useage'!$A$4:$A$15&amp;'Gas Useage'!$B$4:$B$15,_xlfn.XLOOKUP(F$14,'Gas Useage'!$AA$3:$AB$3,'Gas Useage'!$AA$4:$AB$15))</f>
        <v>1.0414685700746485E-3</v>
      </c>
      <c r="G17" s="259" cm="1">
        <f t="array" aca="1" ref="G17" ca="1">_xlfn.XLOOKUP(G$13,INDIRECT("'"&amp;$B17&amp;" EI'!$B$6:$B$53"),_xlfn.XLOOKUP($C$10,INDIRECT("'"&amp;$B17&amp;" EI'!$D$4:$Z$4"),INDIRECT("'"&amp;$B17&amp;" EI'!$D$6:$Z$53")))*_xlfn.XLOOKUP($B17&amp;G$15,'Gas Useage'!$A$4:$A$15&amp;'Gas Useage'!$B$4:$B$15,_xlfn.XLOOKUP($C17&amp;G$14,'Gas Useage'!$C$2:$AB$2&amp;'Gas Useage'!$C$3:$AB$3,'Gas Useage'!$C$4:$AB$15))/_xlfn.XLOOKUP($B17&amp;G$15,'Gas Useage'!$A$4:$A$15&amp;'Gas Useage'!$B$4:$B$15,_xlfn.XLOOKUP(G$14,'Gas Useage'!$AA$3:$AB$3,'Gas Useage'!$AA$4:$AB$15))</f>
        <v>9.3283157327349534E-5</v>
      </c>
      <c r="H17" s="260" t="s">
        <v>278</v>
      </c>
      <c r="I17" s="260" t="s">
        <v>278</v>
      </c>
      <c r="J17" s="260" t="s">
        <v>278</v>
      </c>
      <c r="K17" s="261" t="s">
        <v>278</v>
      </c>
      <c r="N17" s="258"/>
    </row>
    <row r="18" spans="2:14" ht="13.5" hidden="1" x14ac:dyDescent="0.25">
      <c r="B18" s="32">
        <v>2020</v>
      </c>
      <c r="C18" s="198" t="s">
        <v>280</v>
      </c>
      <c r="D18" s="259" cm="1">
        <f t="array" aca="1" ref="D18" ca="1">_xlfn.XLOOKUP(D$13,INDIRECT("'"&amp;$B18&amp;" EI'!$B$6:$B$53"),_xlfn.XLOOKUP($C$10,INDIRECT("'"&amp;$B18&amp;" EI'!$D$4:$Z$4"),INDIRECT("'"&amp;$B18&amp;" EI'!$D$6:$Z$53")))*_xlfn.XLOOKUP($B18&amp;D$15,'Gas Useage'!$A$4:$A$15&amp;'Gas Useage'!$B$4:$B$15,_xlfn.XLOOKUP($C18&amp;D$14,'Gas Useage'!$C$2:$AB$2&amp;'Gas Useage'!$C$3:$AB$3,'Gas Useage'!$C$4:$AB$15))/_xlfn.XLOOKUP($B18&amp;D$15,'Gas Useage'!$A$4:$A$15&amp;'Gas Useage'!$B$4:$B$15,_xlfn.XLOOKUP(D$14,'Gas Useage'!$AA$3:$AB$3,'Gas Useage'!$AA$4:$AB$15))</f>
        <v>1.3033608344872496E-3</v>
      </c>
      <c r="E18" s="259" cm="1">
        <f t="array" aca="1" ref="E18" ca="1">_xlfn.XLOOKUP(E$13,INDIRECT("'"&amp;$B18&amp;" EI'!$B$6:$B$53"),_xlfn.XLOOKUP($C$10,INDIRECT("'"&amp;$B18&amp;" EI'!$D$4:$Z$4"),INDIRECT("'"&amp;$B18&amp;" EI'!$D$6:$Z$53")))*_xlfn.XLOOKUP($B18&amp;E$15,'Gas Useage'!$A$4:$A$15&amp;'Gas Useage'!$B$4:$B$15,_xlfn.XLOOKUP($C18&amp;E$14,'Gas Useage'!$C$2:$AB$2&amp;'Gas Useage'!$C$3:$AB$3,'Gas Useage'!$C$4:$AB$15))/_xlfn.XLOOKUP($B18&amp;E$15,'Gas Useage'!$A$4:$A$15&amp;'Gas Useage'!$B$4:$B$15,_xlfn.XLOOKUP(E$14,'Gas Useage'!$AA$3:$AB$3,'Gas Useage'!$AA$4:$AB$15))</f>
        <v>1.2192820724919148E-4</v>
      </c>
      <c r="F18" s="259" cm="1">
        <f t="array" aca="1" ref="F18" ca="1">_xlfn.XLOOKUP(F$13,INDIRECT("'"&amp;$B18&amp;" EI'!$B$6:$B$53"),_xlfn.XLOOKUP($C$10,INDIRECT("'"&amp;$B18&amp;" EI'!$D$4:$Z$4"),INDIRECT("'"&amp;$B18&amp;" EI'!$D$6:$Z$53")))*_xlfn.XLOOKUP($B18&amp;F$15,'Gas Useage'!$A$4:$A$15&amp;'Gas Useage'!$B$4:$B$15,_xlfn.XLOOKUP($C18&amp;F$14,'Gas Useage'!$C$2:$AB$2&amp;'Gas Useage'!$C$3:$AB$3,'Gas Useage'!$C$4:$AB$15))/_xlfn.XLOOKUP($B18&amp;F$15,'Gas Useage'!$A$4:$A$15&amp;'Gas Useage'!$B$4:$B$15,_xlfn.XLOOKUP(F$14,'Gas Useage'!$AA$3:$AB$3,'Gas Useage'!$AA$4:$AB$15))</f>
        <v>8.1016610626609474E-4</v>
      </c>
      <c r="G18" s="259" cm="1">
        <f t="array" aca="1" ref="G18" ca="1">_xlfn.XLOOKUP(G$13,INDIRECT("'"&amp;$B18&amp;" EI'!$B$6:$B$53"),_xlfn.XLOOKUP($C$10,INDIRECT("'"&amp;$B18&amp;" EI'!$D$4:$Z$4"),INDIRECT("'"&amp;$B18&amp;" EI'!$D$6:$Z$53")))*_xlfn.XLOOKUP($B18&amp;G$15,'Gas Useage'!$A$4:$A$15&amp;'Gas Useage'!$B$4:$B$15,_xlfn.XLOOKUP($C18&amp;G$14,'Gas Useage'!$C$2:$AB$2&amp;'Gas Useage'!$C$3:$AB$3,'Gas Useage'!$C$4:$AB$15))/_xlfn.XLOOKUP($B18&amp;G$15,'Gas Useage'!$A$4:$A$15&amp;'Gas Useage'!$B$4:$B$15,_xlfn.XLOOKUP(G$14,'Gas Useage'!$AA$3:$AB$3,'Gas Useage'!$AA$4:$AB$15))</f>
        <v>7.5790294059238322E-5</v>
      </c>
      <c r="H18" s="260" t="s">
        <v>278</v>
      </c>
      <c r="I18" s="260" t="s">
        <v>278</v>
      </c>
      <c r="J18" s="260" t="s">
        <v>278</v>
      </c>
      <c r="K18" s="261" t="s">
        <v>278</v>
      </c>
      <c r="N18" s="258"/>
    </row>
    <row r="19" spans="2:14" ht="13.5" hidden="1" x14ac:dyDescent="0.25">
      <c r="B19" s="32">
        <v>2020</v>
      </c>
      <c r="C19" s="198" t="s">
        <v>281</v>
      </c>
      <c r="D19" s="259" cm="1">
        <f t="array" aca="1" ref="D19" ca="1">_xlfn.XLOOKUP(D$13,INDIRECT("'"&amp;$B19&amp;" EI'!$B$6:$B$53"),_xlfn.XLOOKUP($C$10,INDIRECT("'"&amp;$B19&amp;" EI'!$D$4:$Z$4"),INDIRECT("'"&amp;$B19&amp;" EI'!$D$6:$Z$53")))*_xlfn.XLOOKUP($B19&amp;D$15,'Gas Useage'!$A$4:$A$15&amp;'Gas Useage'!$B$4:$B$15,_xlfn.XLOOKUP($C19&amp;D$14,'Gas Useage'!$C$2:$AB$2&amp;'Gas Useage'!$C$3:$AB$3,'Gas Useage'!$C$4:$AB$15))/_xlfn.XLOOKUP($B19&amp;D$15,'Gas Useage'!$A$4:$A$15&amp;'Gas Useage'!$B$4:$B$15,_xlfn.XLOOKUP(D$14,'Gas Useage'!$AA$3:$AB$3,'Gas Useage'!$AA$4:$AB$15))</f>
        <v>5.0505027974204707E-4</v>
      </c>
      <c r="E19" s="259" cm="1">
        <f t="array" aca="1" ref="E19" ca="1">_xlfn.XLOOKUP(E$13,INDIRECT("'"&amp;$B19&amp;" EI'!$B$6:$B$53"),_xlfn.XLOOKUP($C$10,INDIRECT("'"&amp;$B19&amp;" EI'!$D$4:$Z$4"),INDIRECT("'"&amp;$B19&amp;" EI'!$D$6:$Z$53")))*_xlfn.XLOOKUP($B19&amp;E$15,'Gas Useage'!$A$4:$A$15&amp;'Gas Useage'!$B$4:$B$15,_xlfn.XLOOKUP($C19&amp;E$14,'Gas Useage'!$C$2:$AB$2&amp;'Gas Useage'!$C$3:$AB$3,'Gas Useage'!$C$4:$AB$15))/_xlfn.XLOOKUP($B19&amp;E$15,'Gas Useage'!$A$4:$A$15&amp;'Gas Useage'!$B$4:$B$15,_xlfn.XLOOKUP(E$14,'Gas Useage'!$AA$3:$AB$3,'Gas Useage'!$AA$4:$AB$15))</f>
        <v>4.8350737697074525E-5</v>
      </c>
      <c r="F19" s="259" cm="1">
        <f t="array" aca="1" ref="F19" ca="1">_xlfn.XLOOKUP(F$13,INDIRECT("'"&amp;$B19&amp;" EI'!$B$6:$B$53"),_xlfn.XLOOKUP($C$10,INDIRECT("'"&amp;$B19&amp;" EI'!$D$4:$Z$4"),INDIRECT("'"&amp;$B19&amp;" EI'!$D$6:$Z$53")))*_xlfn.XLOOKUP($B19&amp;F$15,'Gas Useage'!$A$4:$A$15&amp;'Gas Useage'!$B$4:$B$15,_xlfn.XLOOKUP($C19&amp;F$14,'Gas Useage'!$C$2:$AB$2&amp;'Gas Useage'!$C$3:$AB$3,'Gas Useage'!$C$4:$AB$15))/_xlfn.XLOOKUP($B19&amp;F$15,'Gas Useage'!$A$4:$A$15&amp;'Gas Useage'!$B$4:$B$15,_xlfn.XLOOKUP(F$14,'Gas Useage'!$AA$3:$AB$3,'Gas Useage'!$AA$4:$AB$15))</f>
        <v>5.0673771803052658E-4</v>
      </c>
      <c r="G19" s="259" cm="1">
        <f t="array" aca="1" ref="G19" ca="1">_xlfn.XLOOKUP(G$13,INDIRECT("'"&amp;$B19&amp;" EI'!$B$6:$B$53"),_xlfn.XLOOKUP($C$10,INDIRECT("'"&amp;$B19&amp;" EI'!$D$4:$Z$4"),INDIRECT("'"&amp;$B19&amp;" EI'!$D$6:$Z$53")))*_xlfn.XLOOKUP($B19&amp;G$15,'Gas Useage'!$A$4:$A$15&amp;'Gas Useage'!$B$4:$B$15,_xlfn.XLOOKUP($C19&amp;G$14,'Gas Useage'!$C$2:$AB$2&amp;'Gas Useage'!$C$3:$AB$3,'Gas Useage'!$C$4:$AB$15))/_xlfn.XLOOKUP($B19&amp;G$15,'Gas Useage'!$A$4:$A$15&amp;'Gas Useage'!$B$4:$B$15,_xlfn.XLOOKUP(G$14,'Gas Useage'!$AA$3:$AB$3,'Gas Useage'!$AA$4:$AB$15))</f>
        <v>4.8512283763553202E-5</v>
      </c>
      <c r="H19" s="260" t="s">
        <v>278</v>
      </c>
      <c r="I19" s="260" t="s">
        <v>278</v>
      </c>
      <c r="J19" s="260" t="s">
        <v>278</v>
      </c>
      <c r="K19" s="261" t="s">
        <v>278</v>
      </c>
      <c r="N19" s="258"/>
    </row>
    <row r="20" spans="2:14" ht="13.5" hidden="1" x14ac:dyDescent="0.25">
      <c r="B20" s="32">
        <v>2020</v>
      </c>
      <c r="C20" s="198" t="s">
        <v>282</v>
      </c>
      <c r="D20" s="259" cm="1">
        <f t="array" aca="1" ref="D20" ca="1">_xlfn.XLOOKUP(D$13,INDIRECT("'"&amp;$B20&amp;" EI'!$B$6:$B$53"),_xlfn.XLOOKUP($C$10,INDIRECT("'"&amp;$B20&amp;" EI'!$D$4:$Z$4"),INDIRECT("'"&amp;$B20&amp;" EI'!$D$6:$Z$53")))*_xlfn.XLOOKUP($B20&amp;D$15,'Gas Useage'!$A$4:$A$15&amp;'Gas Useage'!$B$4:$B$15,_xlfn.XLOOKUP($C20&amp;D$14,'Gas Useage'!$C$2:$AB$2&amp;'Gas Useage'!$C$3:$AB$3,'Gas Useage'!$C$4:$AB$15))/_xlfn.XLOOKUP($B20&amp;D$15,'Gas Useage'!$A$4:$A$15&amp;'Gas Useage'!$B$4:$B$15,_xlfn.XLOOKUP(D$14,'Gas Useage'!$AA$3:$AB$3,'Gas Useage'!$AA$4:$AB$15))</f>
        <v>3.16553153567905E-5</v>
      </c>
      <c r="E20" s="259" cm="1">
        <f t="array" aca="1" ref="E20" ca="1">_xlfn.XLOOKUP(E$13,INDIRECT("'"&amp;$B20&amp;" EI'!$B$6:$B$53"),_xlfn.XLOOKUP($C$10,INDIRECT("'"&amp;$B20&amp;" EI'!$D$4:$Z$4"),INDIRECT("'"&amp;$B20&amp;" EI'!$D$6:$Z$53")))*_xlfn.XLOOKUP($B20&amp;E$15,'Gas Useage'!$A$4:$A$15&amp;'Gas Useage'!$B$4:$B$15,_xlfn.XLOOKUP($C20&amp;E$14,'Gas Useage'!$C$2:$AB$2&amp;'Gas Useage'!$C$3:$AB$3,'Gas Useage'!$C$4:$AB$15))/_xlfn.XLOOKUP($B20&amp;E$15,'Gas Useage'!$A$4:$A$15&amp;'Gas Useage'!$B$4:$B$15,_xlfn.XLOOKUP(E$14,'Gas Useage'!$AA$3:$AB$3,'Gas Useage'!$AA$4:$AB$15))</f>
        <v>1.7661074854750267E-6</v>
      </c>
      <c r="F20" s="259" cm="1">
        <f t="array" aca="1" ref="F20" ca="1">_xlfn.XLOOKUP(F$13,INDIRECT("'"&amp;$B20&amp;" EI'!$B$6:$B$53"),_xlfn.XLOOKUP($C$10,INDIRECT("'"&amp;$B20&amp;" EI'!$D$4:$Z$4"),INDIRECT("'"&amp;$B20&amp;" EI'!$D$6:$Z$53")))*_xlfn.XLOOKUP($B20&amp;F$15,'Gas Useage'!$A$4:$A$15&amp;'Gas Useage'!$B$4:$B$15,_xlfn.XLOOKUP($C20&amp;F$14,'Gas Useage'!$C$2:$AB$2&amp;'Gas Useage'!$C$3:$AB$3,'Gas Useage'!$C$4:$AB$15))/_xlfn.XLOOKUP($B20&amp;F$15,'Gas Useage'!$A$4:$A$15&amp;'Gas Useage'!$B$4:$B$15,_xlfn.XLOOKUP(F$14,'Gas Useage'!$AA$3:$AB$3,'Gas Useage'!$AA$4:$AB$15))</f>
        <v>1.5292087083054625E-8</v>
      </c>
      <c r="G20" s="259" cm="1">
        <f t="array" aca="1" ref="G20" ca="1">_xlfn.XLOOKUP(G$13,INDIRECT("'"&amp;$B20&amp;" EI'!$B$6:$B$53"),_xlfn.XLOOKUP($C$10,INDIRECT("'"&amp;$B20&amp;" EI'!$D$4:$Z$4"),INDIRECT("'"&amp;$B20&amp;" EI'!$D$6:$Z$53")))*_xlfn.XLOOKUP($B20&amp;G$15,'Gas Useage'!$A$4:$A$15&amp;'Gas Useage'!$B$4:$B$15,_xlfn.XLOOKUP($C20&amp;G$14,'Gas Useage'!$C$2:$AB$2&amp;'Gas Useage'!$C$3:$AB$3,'Gas Useage'!$C$4:$AB$15))/_xlfn.XLOOKUP($B20&amp;G$15,'Gas Useage'!$A$4:$A$15&amp;'Gas Useage'!$B$4:$B$15,_xlfn.XLOOKUP(G$14,'Gas Useage'!$AA$3:$AB$3,'Gas Useage'!$AA$4:$AB$15))</f>
        <v>8.5317328737732102E-10</v>
      </c>
      <c r="H20" s="260" t="s">
        <v>278</v>
      </c>
      <c r="I20" s="260" t="s">
        <v>278</v>
      </c>
      <c r="J20" s="260" t="s">
        <v>278</v>
      </c>
      <c r="K20" s="261" t="s">
        <v>278</v>
      </c>
      <c r="N20" s="258"/>
    </row>
    <row r="21" spans="2:14" ht="13.5" hidden="1" x14ac:dyDescent="0.25">
      <c r="B21" s="32">
        <v>2020</v>
      </c>
      <c r="C21" s="198" t="s">
        <v>283</v>
      </c>
      <c r="D21" s="259" cm="1">
        <f t="array" aca="1" ref="D21" ca="1">_xlfn.XLOOKUP(D$13,INDIRECT("'"&amp;$B21&amp;" EI'!$B$6:$B$53"),_xlfn.XLOOKUP($C$10,INDIRECT("'"&amp;$B21&amp;" EI'!$D$4:$Z$4"),INDIRECT("'"&amp;$B21&amp;" EI'!$D$6:$Z$53")))*_xlfn.XLOOKUP($B21&amp;D$15,'Gas Useage'!$A$4:$A$15&amp;'Gas Useage'!$B$4:$B$15,_xlfn.XLOOKUP($C21&amp;D$14,'Gas Useage'!$C$2:$AB$2&amp;'Gas Useage'!$C$3:$AB$3,'Gas Useage'!$C$4:$AB$15))/_xlfn.XLOOKUP($B21&amp;D$15,'Gas Useage'!$A$4:$A$15&amp;'Gas Useage'!$B$4:$B$15,_xlfn.XLOOKUP(D$14,'Gas Useage'!$AA$3:$AB$3,'Gas Useage'!$AA$4:$AB$15))</f>
        <v>0</v>
      </c>
      <c r="E21" s="259" cm="1">
        <f t="array" aca="1" ref="E21" ca="1">_xlfn.XLOOKUP(E$13,INDIRECT("'"&amp;$B21&amp;" EI'!$B$6:$B$53"),_xlfn.XLOOKUP($C$10,INDIRECT("'"&amp;$B21&amp;" EI'!$D$4:$Z$4"),INDIRECT("'"&amp;$B21&amp;" EI'!$D$6:$Z$53")))*_xlfn.XLOOKUP($B21&amp;E$15,'Gas Useage'!$A$4:$A$15&amp;'Gas Useage'!$B$4:$B$15,_xlfn.XLOOKUP($C21&amp;E$14,'Gas Useage'!$C$2:$AB$2&amp;'Gas Useage'!$C$3:$AB$3,'Gas Useage'!$C$4:$AB$15))/_xlfn.XLOOKUP($B21&amp;E$15,'Gas Useage'!$A$4:$A$15&amp;'Gas Useage'!$B$4:$B$15,_xlfn.XLOOKUP(E$14,'Gas Useage'!$AA$3:$AB$3,'Gas Useage'!$AA$4:$AB$15))</f>
        <v>0</v>
      </c>
      <c r="F21" s="259" cm="1">
        <f t="array" aca="1" ref="F21" ca="1">_xlfn.XLOOKUP(F$13,INDIRECT("'"&amp;$B21&amp;" EI'!$B$6:$B$53"),_xlfn.XLOOKUP($C$10,INDIRECT("'"&amp;$B21&amp;" EI'!$D$4:$Z$4"),INDIRECT("'"&amp;$B21&amp;" EI'!$D$6:$Z$53")))*_xlfn.XLOOKUP($B21&amp;F$15,'Gas Useage'!$A$4:$A$15&amp;'Gas Useage'!$B$4:$B$15,_xlfn.XLOOKUP($C21&amp;F$14,'Gas Useage'!$C$2:$AB$2&amp;'Gas Useage'!$C$3:$AB$3,'Gas Useage'!$C$4:$AB$15))/_xlfn.XLOOKUP($B21&amp;F$15,'Gas Useage'!$A$4:$A$15&amp;'Gas Useage'!$B$4:$B$15,_xlfn.XLOOKUP(F$14,'Gas Useage'!$AA$3:$AB$3,'Gas Useage'!$AA$4:$AB$15))</f>
        <v>0</v>
      </c>
      <c r="G21" s="259" cm="1">
        <f t="array" aca="1" ref="G21" ca="1">_xlfn.XLOOKUP(G$13,INDIRECT("'"&amp;$B21&amp;" EI'!$B$6:$B$53"),_xlfn.XLOOKUP($C$10,INDIRECT("'"&amp;$B21&amp;" EI'!$D$4:$Z$4"),INDIRECT("'"&amp;$B21&amp;" EI'!$D$6:$Z$53")))*_xlfn.XLOOKUP($B21&amp;G$15,'Gas Useage'!$A$4:$A$15&amp;'Gas Useage'!$B$4:$B$15,_xlfn.XLOOKUP($C21&amp;G$14,'Gas Useage'!$C$2:$AB$2&amp;'Gas Useage'!$C$3:$AB$3,'Gas Useage'!$C$4:$AB$15))/_xlfn.XLOOKUP($B21&amp;G$15,'Gas Useage'!$A$4:$A$15&amp;'Gas Useage'!$B$4:$B$15,_xlfn.XLOOKUP(G$14,'Gas Useage'!$AA$3:$AB$3,'Gas Useage'!$AA$4:$AB$15))</f>
        <v>0</v>
      </c>
      <c r="H21" s="260" t="s">
        <v>278</v>
      </c>
      <c r="I21" s="260" t="s">
        <v>278</v>
      </c>
      <c r="J21" s="260" t="s">
        <v>278</v>
      </c>
      <c r="K21" s="261" t="s">
        <v>278</v>
      </c>
      <c r="N21" s="258"/>
    </row>
    <row r="22" spans="2:14" ht="13.5" hidden="1" x14ac:dyDescent="0.25">
      <c r="B22" s="32">
        <v>2020</v>
      </c>
      <c r="C22" s="198" t="s">
        <v>284</v>
      </c>
      <c r="D22" s="259" cm="1">
        <f t="array" aca="1" ref="D22" ca="1">_xlfn.XLOOKUP(D$13,INDIRECT("'"&amp;$B22&amp;" EI'!$B$6:$B$53"),_xlfn.XLOOKUP($C$10,INDIRECT("'"&amp;$B22&amp;" EI'!$D$4:$Z$4"),INDIRECT("'"&amp;$B22&amp;" EI'!$D$6:$Z$53")))*_xlfn.XLOOKUP($B22&amp;D$15,'Gas Useage'!$A$4:$A$15&amp;'Gas Useage'!$B$4:$B$15,_xlfn.XLOOKUP($C22&amp;D$14,'Gas Useage'!$C$2:$AB$2&amp;'Gas Useage'!$C$3:$AB$3,'Gas Useage'!$C$4:$AB$15))/_xlfn.XLOOKUP($B22&amp;D$15,'Gas Useage'!$A$4:$A$15&amp;'Gas Useage'!$B$4:$B$15,_xlfn.XLOOKUP(D$14,'Gas Useage'!$AA$3:$AB$3,'Gas Useage'!$AA$4:$AB$15))</f>
        <v>1.2726473830448866E-3</v>
      </c>
      <c r="E22" s="259" cm="1">
        <f t="array" aca="1" ref="E22" ca="1">_xlfn.XLOOKUP(E$13,INDIRECT("'"&amp;$B22&amp;" EI'!$B$6:$B$53"),_xlfn.XLOOKUP($C$10,INDIRECT("'"&amp;$B22&amp;" EI'!$D$4:$Z$4"),INDIRECT("'"&amp;$B22&amp;" EI'!$D$6:$Z$53")))*_xlfn.XLOOKUP($B22&amp;E$15,'Gas Useage'!$A$4:$A$15&amp;'Gas Useage'!$B$4:$B$15,_xlfn.XLOOKUP($C22&amp;E$14,'Gas Useage'!$C$2:$AB$2&amp;'Gas Useage'!$C$3:$AB$3,'Gas Useage'!$C$4:$AB$15))/_xlfn.XLOOKUP($B22&amp;E$15,'Gas Useage'!$A$4:$A$15&amp;'Gas Useage'!$B$4:$B$15,_xlfn.XLOOKUP(E$14,'Gas Useage'!$AA$3:$AB$3,'Gas Useage'!$AA$4:$AB$15))</f>
        <v>1.1326488303983649E-4</v>
      </c>
      <c r="F22" s="259" cm="1">
        <f t="array" aca="1" ref="F22" ca="1">_xlfn.XLOOKUP(F$13,INDIRECT("'"&amp;$B22&amp;" EI'!$B$6:$B$53"),_xlfn.XLOOKUP($C$10,INDIRECT("'"&amp;$B22&amp;" EI'!$D$4:$Z$4"),INDIRECT("'"&amp;$B22&amp;" EI'!$D$6:$Z$53")))*_xlfn.XLOOKUP($B22&amp;F$15,'Gas Useage'!$A$4:$A$15&amp;'Gas Useage'!$B$4:$B$15,_xlfn.XLOOKUP($C22&amp;F$14,'Gas Useage'!$C$2:$AB$2&amp;'Gas Useage'!$C$3:$AB$3,'Gas Useage'!$C$4:$AB$15))/_xlfn.XLOOKUP($B22&amp;F$15,'Gas Useage'!$A$4:$A$15&amp;'Gas Useage'!$B$4:$B$15,_xlfn.XLOOKUP(F$14,'Gas Useage'!$AA$3:$AB$3,'Gas Useage'!$AA$4:$AB$15))</f>
        <v>7.9993013309114045E-4</v>
      </c>
      <c r="G22" s="259" cm="1">
        <f t="array" aca="1" ref="G22" ca="1">_xlfn.XLOOKUP(G$13,INDIRECT("'"&amp;$B22&amp;" EI'!$B$6:$B$53"),_xlfn.XLOOKUP($C$10,INDIRECT("'"&amp;$B22&amp;" EI'!$D$4:$Z$4"),INDIRECT("'"&amp;$B22&amp;" EI'!$D$6:$Z$53")))*_xlfn.XLOOKUP($B22&amp;G$15,'Gas Useage'!$A$4:$A$15&amp;'Gas Useage'!$B$4:$B$15,_xlfn.XLOOKUP($C22&amp;G$14,'Gas Useage'!$C$2:$AB$2&amp;'Gas Useage'!$C$3:$AB$3,'Gas Useage'!$C$4:$AB$15))/_xlfn.XLOOKUP($B22&amp;G$15,'Gas Useage'!$A$4:$A$15&amp;'Gas Useage'!$B$4:$B$15,_xlfn.XLOOKUP(G$14,'Gas Useage'!$AA$3:$AB$3,'Gas Useage'!$AA$4:$AB$15))</f>
        <v>7.1193320452860463E-5</v>
      </c>
      <c r="H22" s="260" t="s">
        <v>278</v>
      </c>
      <c r="I22" s="260" t="s">
        <v>278</v>
      </c>
      <c r="J22" s="260" t="s">
        <v>278</v>
      </c>
      <c r="K22" s="261" t="s">
        <v>278</v>
      </c>
      <c r="N22" s="258"/>
    </row>
    <row r="23" spans="2:14" ht="13.5" hidden="1" x14ac:dyDescent="0.25">
      <c r="B23" s="32">
        <v>2020</v>
      </c>
      <c r="C23" s="198" t="s">
        <v>285</v>
      </c>
      <c r="D23" s="259" cm="1">
        <f t="array" aca="1" ref="D23" ca="1">_xlfn.XLOOKUP(D$13,INDIRECT("'"&amp;$B23&amp;" EI'!$B$6:$B$53"),_xlfn.XLOOKUP($C$10,INDIRECT("'"&amp;$B23&amp;" EI'!$D$4:$Z$4"),INDIRECT("'"&amp;$B23&amp;" EI'!$D$6:$Z$53")))*_xlfn.XLOOKUP($B23&amp;D$15,'Gas Useage'!$A$4:$A$15&amp;'Gas Useage'!$B$4:$B$15,_xlfn.XLOOKUP($C23&amp;D$14,'Gas Useage'!$C$2:$AB$2&amp;'Gas Useage'!$C$3:$AB$3,'Gas Useage'!$C$4:$AB$15))/_xlfn.XLOOKUP($B23&amp;D$15,'Gas Useage'!$A$4:$A$15&amp;'Gas Useage'!$B$4:$B$15,_xlfn.XLOOKUP(D$14,'Gas Useage'!$AA$3:$AB$3,'Gas Useage'!$AA$4:$AB$15))</f>
        <v>1.280034536537377E-3</v>
      </c>
      <c r="E23" s="259" cm="1">
        <f t="array" aca="1" ref="E23" ca="1">_xlfn.XLOOKUP(E$13,INDIRECT("'"&amp;$B23&amp;" EI'!$B$6:$B$53"),_xlfn.XLOOKUP($C$10,INDIRECT("'"&amp;$B23&amp;" EI'!$D$4:$Z$4"),INDIRECT("'"&amp;$B23&amp;" EI'!$D$6:$Z$53")))*_xlfn.XLOOKUP($B23&amp;E$15,'Gas Useage'!$A$4:$A$15&amp;'Gas Useage'!$B$4:$B$15,_xlfn.XLOOKUP($C23&amp;E$14,'Gas Useage'!$C$2:$AB$2&amp;'Gas Useage'!$C$3:$AB$3,'Gas Useage'!$C$4:$AB$15))/_xlfn.XLOOKUP($B23&amp;E$15,'Gas Useage'!$A$4:$A$15&amp;'Gas Useage'!$B$4:$B$15,_xlfn.XLOOKUP(E$14,'Gas Useage'!$AA$3:$AB$3,'Gas Useage'!$AA$4:$AB$15))</f>
        <v>8.6621496941318427E-5</v>
      </c>
      <c r="F23" s="259" cm="1">
        <f t="array" aca="1" ref="F23" ca="1">_xlfn.XLOOKUP(F$13,INDIRECT("'"&amp;$B23&amp;" EI'!$B$6:$B$53"),_xlfn.XLOOKUP($C$10,INDIRECT("'"&amp;$B23&amp;" EI'!$D$4:$Z$4"),INDIRECT("'"&amp;$B23&amp;" EI'!$D$6:$Z$53")))*_xlfn.XLOOKUP($B23&amp;F$15,'Gas Useage'!$A$4:$A$15&amp;'Gas Useage'!$B$4:$B$15,_xlfn.XLOOKUP($C23&amp;F$14,'Gas Useage'!$C$2:$AB$2&amp;'Gas Useage'!$C$3:$AB$3,'Gas Useage'!$C$4:$AB$15))/_xlfn.XLOOKUP($B23&amp;F$15,'Gas Useage'!$A$4:$A$15&amp;'Gas Useage'!$B$4:$B$15,_xlfn.XLOOKUP(F$14,'Gas Useage'!$AA$3:$AB$3,'Gas Useage'!$AA$4:$AB$15))</f>
        <v>1.4829806676624341E-4</v>
      </c>
      <c r="G23" s="259" cm="1">
        <f t="array" aca="1" ref="G23" ca="1">_xlfn.XLOOKUP(G$13,INDIRECT("'"&amp;$B23&amp;" EI'!$B$6:$B$53"),_xlfn.XLOOKUP($C$10,INDIRECT("'"&amp;$B23&amp;" EI'!$D$4:$Z$4"),INDIRECT("'"&amp;$B23&amp;" EI'!$D$6:$Z$53")))*_xlfn.XLOOKUP($B23&amp;G$15,'Gas Useage'!$A$4:$A$15&amp;'Gas Useage'!$B$4:$B$15,_xlfn.XLOOKUP($C23&amp;G$14,'Gas Useage'!$C$2:$AB$2&amp;'Gas Useage'!$C$3:$AB$3,'Gas Useage'!$C$4:$AB$15))/_xlfn.XLOOKUP($B23&amp;G$15,'Gas Useage'!$A$4:$A$15&amp;'Gas Useage'!$B$4:$B$15,_xlfn.XLOOKUP(G$14,'Gas Useage'!$AA$3:$AB$3,'Gas Useage'!$AA$4:$AB$15))</f>
        <v>1.0035510894530069E-5</v>
      </c>
      <c r="H23" s="260" t="s">
        <v>278</v>
      </c>
      <c r="I23" s="260" t="s">
        <v>278</v>
      </c>
      <c r="J23" s="260" t="s">
        <v>278</v>
      </c>
      <c r="K23" s="261" t="s">
        <v>278</v>
      </c>
      <c r="N23" s="258"/>
    </row>
    <row r="24" spans="2:14" ht="13.5" hidden="1" x14ac:dyDescent="0.25">
      <c r="B24" s="32">
        <v>2020</v>
      </c>
      <c r="C24" s="198" t="s">
        <v>286</v>
      </c>
      <c r="D24" s="259" cm="1">
        <f t="array" aca="1" ref="D24" ca="1">_xlfn.XLOOKUP(D$13,INDIRECT("'"&amp;$B24&amp;" EI'!$B$6:$B$53"),_xlfn.XLOOKUP($C$10,INDIRECT("'"&amp;$B24&amp;" EI'!$D$4:$Z$4"),INDIRECT("'"&amp;$B24&amp;" EI'!$D$6:$Z$53")))*_xlfn.XLOOKUP($B24&amp;D$15,'Gas Useage'!$A$4:$A$15&amp;'Gas Useage'!$B$4:$B$15,_xlfn.XLOOKUP($C24&amp;D$14,'Gas Useage'!$C$2:$AB$2&amp;'Gas Useage'!$C$3:$AB$3,'Gas Useage'!$C$4:$AB$15))/_xlfn.XLOOKUP($B24&amp;D$15,'Gas Useage'!$A$4:$A$15&amp;'Gas Useage'!$B$4:$B$15,_xlfn.XLOOKUP(D$14,'Gas Useage'!$AA$3:$AB$3,'Gas Useage'!$AA$4:$AB$15))</f>
        <v>3.5139824458928697E-4</v>
      </c>
      <c r="E24" s="259" cm="1">
        <f t="array" aca="1" ref="E24" ca="1">_xlfn.XLOOKUP(E$13,INDIRECT("'"&amp;$B24&amp;" EI'!$B$6:$B$53"),_xlfn.XLOOKUP($C$10,INDIRECT("'"&amp;$B24&amp;" EI'!$D$4:$Z$4"),INDIRECT("'"&amp;$B24&amp;" EI'!$D$6:$Z$53")))*_xlfn.XLOOKUP($B24&amp;E$15,'Gas Useage'!$A$4:$A$15&amp;'Gas Useage'!$B$4:$B$15,_xlfn.XLOOKUP($C24&amp;E$14,'Gas Useage'!$C$2:$AB$2&amp;'Gas Useage'!$C$3:$AB$3,'Gas Useage'!$C$4:$AB$15))/_xlfn.XLOOKUP($B24&amp;E$15,'Gas Useage'!$A$4:$A$15&amp;'Gas Useage'!$B$4:$B$15,_xlfn.XLOOKUP(E$14,'Gas Useage'!$AA$3:$AB$3,'Gas Useage'!$AA$4:$AB$15))</f>
        <v>3.87916388330237E-5</v>
      </c>
      <c r="F24" s="259" cm="1">
        <f t="array" aca="1" ref="F24" ca="1">_xlfn.XLOOKUP(F$13,INDIRECT("'"&amp;$B24&amp;" EI'!$B$6:$B$53"),_xlfn.XLOOKUP($C$10,INDIRECT("'"&amp;$B24&amp;" EI'!$D$4:$Z$4"),INDIRECT("'"&amp;$B24&amp;" EI'!$D$6:$Z$53")))*_xlfn.XLOOKUP($B24&amp;F$15,'Gas Useage'!$A$4:$A$15&amp;'Gas Useage'!$B$4:$B$15,_xlfn.XLOOKUP($C24&amp;F$14,'Gas Useage'!$C$2:$AB$2&amp;'Gas Useage'!$C$3:$AB$3,'Gas Useage'!$C$4:$AB$15))/_xlfn.XLOOKUP($B24&amp;F$15,'Gas Useage'!$A$4:$A$15&amp;'Gas Useage'!$B$4:$B$15,_xlfn.XLOOKUP(F$14,'Gas Useage'!$AA$3:$AB$3,'Gas Useage'!$AA$4:$AB$15))</f>
        <v>2.4056497563470361E-6</v>
      </c>
      <c r="G24" s="259" cm="1">
        <f t="array" aca="1" ref="G24" ca="1">_xlfn.XLOOKUP(G$13,INDIRECT("'"&amp;$B24&amp;" EI'!$B$6:$B$53"),_xlfn.XLOOKUP($C$10,INDIRECT("'"&amp;$B24&amp;" EI'!$D$4:$Z$4"),INDIRECT("'"&amp;$B24&amp;" EI'!$D$6:$Z$53")))*_xlfn.XLOOKUP($B24&amp;G$15,'Gas Useage'!$A$4:$A$15&amp;'Gas Useage'!$B$4:$B$15,_xlfn.XLOOKUP($C24&amp;G$14,'Gas Useage'!$C$2:$AB$2&amp;'Gas Useage'!$C$3:$AB$3,'Gas Useage'!$C$4:$AB$15))/_xlfn.XLOOKUP($B24&amp;G$15,'Gas Useage'!$A$4:$A$15&amp;'Gas Useage'!$B$4:$B$15,_xlfn.XLOOKUP(G$14,'Gas Useage'!$AA$3:$AB$3,'Gas Useage'!$AA$4:$AB$15))</f>
        <v>2.6556506170381333E-7</v>
      </c>
      <c r="H24" s="260" t="s">
        <v>278</v>
      </c>
      <c r="I24" s="260" t="s">
        <v>278</v>
      </c>
      <c r="J24" s="260" t="s">
        <v>278</v>
      </c>
      <c r="K24" s="261" t="s">
        <v>278</v>
      </c>
      <c r="N24" s="258"/>
    </row>
    <row r="25" spans="2:14" ht="13.5" x14ac:dyDescent="0.25">
      <c r="B25" s="32">
        <v>2020</v>
      </c>
      <c r="C25" s="494" t="s">
        <v>287</v>
      </c>
      <c r="D25" s="259" cm="1">
        <f t="array" aca="1" ref="D25" ca="1">_xlfn.XLOOKUP(D$13,INDIRECT("'"&amp;$B25&amp;" EI'!$B$6:$B$53"),_xlfn.XLOOKUP($C$10,INDIRECT("'"&amp;$B25&amp;" EI'!$D$4:$Z$4"),INDIRECT("'"&amp;$B25&amp;" EI'!$D$6:$Z$53")))*_xlfn.XLOOKUP($B25&amp;D$15,'Gas Useage'!$A$4:$A$15&amp;'Gas Useage'!$B$4:$B$15,_xlfn.XLOOKUP($C25&amp;D$14,'Gas Useage'!$C$2:$AB$2&amp;'Gas Useage'!$C$3:$AB$3,'Gas Useage'!$C$4:$AB$15))/_xlfn.XLOOKUP($B25&amp;D$15,'Gas Useage'!$A$4:$A$15&amp;'Gas Useage'!$B$4:$B$15,_xlfn.XLOOKUP(D$14,'Gas Useage'!$AA$3:$AB$3,'Gas Useage'!$AA$4:$AB$15))</f>
        <v>4.0875218886693974E-4</v>
      </c>
      <c r="E25" s="259" cm="1">
        <f t="array" aca="1" ref="E25" ca="1">_xlfn.XLOOKUP(E$13,INDIRECT("'"&amp;$B25&amp;" EI'!$B$6:$B$53"),_xlfn.XLOOKUP($C$10,INDIRECT("'"&amp;$B25&amp;" EI'!$D$4:$Z$4"),INDIRECT("'"&amp;$B25&amp;" EI'!$D$6:$Z$53")))*_xlfn.XLOOKUP($B25&amp;E$15,'Gas Useage'!$A$4:$A$15&amp;'Gas Useage'!$B$4:$B$15,_xlfn.XLOOKUP($C25&amp;E$14,'Gas Useage'!$C$2:$AB$2&amp;'Gas Useage'!$C$3:$AB$3,'Gas Useage'!$C$4:$AB$15))/_xlfn.XLOOKUP($B25&amp;E$15,'Gas Useage'!$A$4:$A$15&amp;'Gas Useage'!$B$4:$B$15,_xlfn.XLOOKUP(E$14,'Gas Useage'!$AA$3:$AB$3,'Gas Useage'!$AA$4:$AB$15))</f>
        <v>3.150462452388574E-5</v>
      </c>
      <c r="F25" s="259" cm="1">
        <f t="array" aca="1" ref="F25" ca="1">_xlfn.XLOOKUP(F$13,INDIRECT("'"&amp;$B25&amp;" EI'!$B$6:$B$53"),_xlfn.XLOOKUP($C$10,INDIRECT("'"&amp;$B25&amp;" EI'!$D$4:$Z$4"),INDIRECT("'"&amp;$B25&amp;" EI'!$D$6:$Z$53")))*_xlfn.XLOOKUP($B25&amp;F$15,'Gas Useage'!$A$4:$A$15&amp;'Gas Useage'!$B$4:$B$15,_xlfn.XLOOKUP($C25&amp;F$14,'Gas Useage'!$C$2:$AB$2&amp;'Gas Useage'!$C$3:$AB$3,'Gas Useage'!$C$4:$AB$15))/_xlfn.XLOOKUP($B25&amp;F$15,'Gas Useage'!$A$4:$A$15&amp;'Gas Useage'!$B$4:$B$15,_xlfn.XLOOKUP(F$14,'Gas Useage'!$AA$3:$AB$3,'Gas Useage'!$AA$4:$AB$15))</f>
        <v>9.4530393855198069E-4</v>
      </c>
      <c r="G25" s="259" cm="1">
        <f t="array" aca="1" ref="G25" ca="1">_xlfn.XLOOKUP(G$13,INDIRECT("'"&amp;$B25&amp;" EI'!$B$6:$B$53"),_xlfn.XLOOKUP($C$10,INDIRECT("'"&amp;$B25&amp;" EI'!$D$4:$Z$4"),INDIRECT("'"&amp;$B25&amp;" EI'!$D$6:$Z$53")))*_xlfn.XLOOKUP($B25&amp;G$15,'Gas Useage'!$A$4:$A$15&amp;'Gas Useage'!$B$4:$B$15,_xlfn.XLOOKUP($C25&amp;G$14,'Gas Useage'!$C$2:$AB$2&amp;'Gas Useage'!$C$3:$AB$3,'Gas Useage'!$C$4:$AB$15))/_xlfn.XLOOKUP($B25&amp;G$15,'Gas Useage'!$A$4:$A$15&amp;'Gas Useage'!$B$4:$B$15,_xlfn.XLOOKUP(G$14,'Gas Useage'!$AA$3:$AB$3,'Gas Useage'!$AA$4:$AB$15))</f>
        <v>7.2859415695325386E-5</v>
      </c>
      <c r="H25" s="260" t="s">
        <v>278</v>
      </c>
      <c r="I25" s="260" t="s">
        <v>278</v>
      </c>
      <c r="J25" s="260" t="s">
        <v>278</v>
      </c>
      <c r="K25" s="261" t="s">
        <v>278</v>
      </c>
      <c r="N25" s="258"/>
    </row>
    <row r="26" spans="2:14" ht="13.5" x14ac:dyDescent="0.25">
      <c r="B26" s="32">
        <v>2020</v>
      </c>
      <c r="C26" s="494" t="s">
        <v>288</v>
      </c>
      <c r="D26" s="259" cm="1">
        <f t="array" aca="1" ref="D26" ca="1">_xlfn.XLOOKUP(D$13,INDIRECT("'"&amp;$B26&amp;" EI'!$B$6:$B$53"),_xlfn.XLOOKUP($C$10,INDIRECT("'"&amp;$B26&amp;" EI'!$D$4:$Z$4"),INDIRECT("'"&amp;$B26&amp;" EI'!$D$6:$Z$53")))*_xlfn.XLOOKUP($B26&amp;D$15,'Gas Useage'!$A$4:$A$15&amp;'Gas Useage'!$B$4:$B$15,_xlfn.XLOOKUP($C26&amp;D$14,'Gas Useage'!$C$2:$AB$2&amp;'Gas Useage'!$C$3:$AB$3,'Gas Useage'!$C$4:$AB$15))/_xlfn.XLOOKUP($B26&amp;D$15,'Gas Useage'!$A$4:$A$15&amp;'Gas Useage'!$B$4:$B$15,_xlfn.XLOOKUP(D$14,'Gas Useage'!$AA$3:$AB$3,'Gas Useage'!$AA$4:$AB$15))</f>
        <v>8.8135232440817444E-4</v>
      </c>
      <c r="E26" s="259" cm="1">
        <f t="array" aca="1" ref="E26" ca="1">_xlfn.XLOOKUP(E$13,INDIRECT("'"&amp;$B26&amp;" EI'!$B$6:$B$53"),_xlfn.XLOOKUP($C$10,INDIRECT("'"&amp;$B26&amp;" EI'!$D$4:$Z$4"),INDIRECT("'"&amp;$B26&amp;" EI'!$D$6:$Z$53")))*_xlfn.XLOOKUP($B26&amp;E$15,'Gas Useage'!$A$4:$A$15&amp;'Gas Useage'!$B$4:$B$15,_xlfn.XLOOKUP($C26&amp;E$14,'Gas Useage'!$C$2:$AB$2&amp;'Gas Useage'!$C$3:$AB$3,'Gas Useage'!$C$4:$AB$15))/_xlfn.XLOOKUP($B26&amp;E$15,'Gas Useage'!$A$4:$A$15&amp;'Gas Useage'!$B$4:$B$15,_xlfn.XLOOKUP(E$14,'Gas Useage'!$AA$3:$AB$3,'Gas Useage'!$AA$4:$AB$15))</f>
        <v>9.1772127878984611E-5</v>
      </c>
      <c r="F26" s="259" cm="1">
        <f t="array" aca="1" ref="F26" ca="1">_xlfn.XLOOKUP(F$13,INDIRECT("'"&amp;$B26&amp;" EI'!$B$6:$B$53"),_xlfn.XLOOKUP($C$10,INDIRECT("'"&amp;$B26&amp;" EI'!$D$4:$Z$4"),INDIRECT("'"&amp;$B26&amp;" EI'!$D$6:$Z$53")))*_xlfn.XLOOKUP($B26&amp;F$15,'Gas Useage'!$A$4:$A$15&amp;'Gas Useage'!$B$4:$B$15,_xlfn.XLOOKUP($C26&amp;F$14,'Gas Useage'!$C$2:$AB$2&amp;'Gas Useage'!$C$3:$AB$3,'Gas Useage'!$C$4:$AB$15))/_xlfn.XLOOKUP($B26&amp;F$15,'Gas Useage'!$A$4:$A$15&amp;'Gas Useage'!$B$4:$B$15,_xlfn.XLOOKUP(F$14,'Gas Useage'!$AA$3:$AB$3,'Gas Useage'!$AA$4:$AB$15))</f>
        <v>1.3341106534187151E-3</v>
      </c>
      <c r="G26" s="259" cm="1">
        <f t="array" aca="1" ref="G26" ca="1">_xlfn.XLOOKUP(G$13,INDIRECT("'"&amp;$B26&amp;" EI'!$B$6:$B$53"),_xlfn.XLOOKUP($C$10,INDIRECT("'"&amp;$B26&amp;" EI'!$D$4:$Z$4"),INDIRECT("'"&amp;$B26&amp;" EI'!$D$6:$Z$53")))*_xlfn.XLOOKUP($B26&amp;G$15,'Gas Useage'!$A$4:$A$15&amp;'Gas Useage'!$B$4:$B$15,_xlfn.XLOOKUP($C26&amp;G$14,'Gas Useage'!$C$2:$AB$2&amp;'Gas Useage'!$C$3:$AB$3,'Gas Useage'!$C$4:$AB$15))/_xlfn.XLOOKUP($B26&amp;G$15,'Gas Useage'!$A$4:$A$15&amp;'Gas Useage'!$B$4:$B$15,_xlfn.XLOOKUP(G$14,'Gas Useage'!$AA$3:$AB$3,'Gas Useage'!$AA$4:$AB$15))</f>
        <v>1.3891626549288586E-4</v>
      </c>
      <c r="H26" s="260" t="s">
        <v>278</v>
      </c>
      <c r="I26" s="260" t="s">
        <v>278</v>
      </c>
      <c r="J26" s="260" t="s">
        <v>278</v>
      </c>
      <c r="K26" s="261" t="s">
        <v>278</v>
      </c>
      <c r="N26" s="258"/>
    </row>
    <row r="27" spans="2:14" ht="13.5" x14ac:dyDescent="0.25">
      <c r="B27" s="32">
        <v>2020</v>
      </c>
      <c r="C27" s="494" t="s">
        <v>289</v>
      </c>
      <c r="D27" s="259" cm="1">
        <f t="array" aca="1" ref="D27" ca="1">_xlfn.XLOOKUP(D$13,INDIRECT("'"&amp;$B27&amp;" EI'!$B$6:$B$53"),_xlfn.XLOOKUP($C$10,INDIRECT("'"&amp;$B27&amp;" EI'!$D$4:$Z$4"),INDIRECT("'"&amp;$B27&amp;" EI'!$D$6:$Z$53")))*_xlfn.XLOOKUP($B27&amp;D$15,'Gas Useage'!$A$4:$A$15&amp;'Gas Useage'!$B$4:$B$15,_xlfn.XLOOKUP($C27&amp;D$14,'Gas Useage'!$C$2:$AB$2&amp;'Gas Useage'!$C$3:$AB$3,'Gas Useage'!$C$4:$AB$15))/_xlfn.XLOOKUP($B27&amp;D$15,'Gas Useage'!$A$4:$A$15&amp;'Gas Useage'!$B$4:$B$15,_xlfn.XLOOKUP(D$14,'Gas Useage'!$AA$3:$AB$3,'Gas Useage'!$AA$4:$AB$15))</f>
        <v>8.8135232440817444E-4</v>
      </c>
      <c r="E27" s="259" cm="1">
        <f t="array" aca="1" ref="E27" ca="1">_xlfn.XLOOKUP(E$13,INDIRECT("'"&amp;$B27&amp;" EI'!$B$6:$B$53"),_xlfn.XLOOKUP($C$10,INDIRECT("'"&amp;$B27&amp;" EI'!$D$4:$Z$4"),INDIRECT("'"&amp;$B27&amp;" EI'!$D$6:$Z$53")))*_xlfn.XLOOKUP($B27&amp;E$15,'Gas Useage'!$A$4:$A$15&amp;'Gas Useage'!$B$4:$B$15,_xlfn.XLOOKUP($C27&amp;E$14,'Gas Useage'!$C$2:$AB$2&amp;'Gas Useage'!$C$3:$AB$3,'Gas Useage'!$C$4:$AB$15))/_xlfn.XLOOKUP($B27&amp;E$15,'Gas Useage'!$A$4:$A$15&amp;'Gas Useage'!$B$4:$B$15,_xlfn.XLOOKUP(E$14,'Gas Useage'!$AA$3:$AB$3,'Gas Useage'!$AA$4:$AB$15))</f>
        <v>9.1772127878984611E-5</v>
      </c>
      <c r="F27" s="259" cm="1">
        <f t="array" aca="1" ref="F27" ca="1">_xlfn.XLOOKUP(F$13,INDIRECT("'"&amp;$B27&amp;" EI'!$B$6:$B$53"),_xlfn.XLOOKUP($C$10,INDIRECT("'"&amp;$B27&amp;" EI'!$D$4:$Z$4"),INDIRECT("'"&amp;$B27&amp;" EI'!$D$6:$Z$53")))*_xlfn.XLOOKUP($B27&amp;F$15,'Gas Useage'!$A$4:$A$15&amp;'Gas Useage'!$B$4:$B$15,_xlfn.XLOOKUP($C27&amp;F$14,'Gas Useage'!$C$2:$AB$2&amp;'Gas Useage'!$C$3:$AB$3,'Gas Useage'!$C$4:$AB$15))/_xlfn.XLOOKUP($B27&amp;F$15,'Gas Useage'!$A$4:$A$15&amp;'Gas Useage'!$B$4:$B$15,_xlfn.XLOOKUP(F$14,'Gas Useage'!$AA$3:$AB$3,'Gas Useage'!$AA$4:$AB$15))</f>
        <v>1.3341106534187151E-3</v>
      </c>
      <c r="G27" s="259" cm="1">
        <f t="array" aca="1" ref="G27" ca="1">_xlfn.XLOOKUP(G$13,INDIRECT("'"&amp;$B27&amp;" EI'!$B$6:$B$53"),_xlfn.XLOOKUP($C$10,INDIRECT("'"&amp;$B27&amp;" EI'!$D$4:$Z$4"),INDIRECT("'"&amp;$B27&amp;" EI'!$D$6:$Z$53")))*_xlfn.XLOOKUP($B27&amp;G$15,'Gas Useage'!$A$4:$A$15&amp;'Gas Useage'!$B$4:$B$15,_xlfn.XLOOKUP($C27&amp;G$14,'Gas Useage'!$C$2:$AB$2&amp;'Gas Useage'!$C$3:$AB$3,'Gas Useage'!$C$4:$AB$15))/_xlfn.XLOOKUP($B27&amp;G$15,'Gas Useage'!$A$4:$A$15&amp;'Gas Useage'!$B$4:$B$15,_xlfn.XLOOKUP(G$14,'Gas Useage'!$AA$3:$AB$3,'Gas Useage'!$AA$4:$AB$15))</f>
        <v>1.3891626549288586E-4</v>
      </c>
      <c r="H27" s="260" t="s">
        <v>278</v>
      </c>
      <c r="I27" s="260" t="s">
        <v>278</v>
      </c>
      <c r="J27" s="260" t="s">
        <v>278</v>
      </c>
      <c r="K27" s="261" t="s">
        <v>278</v>
      </c>
      <c r="N27" s="258"/>
    </row>
    <row r="28" spans="2:14" ht="13.5" x14ac:dyDescent="0.25">
      <c r="B28" s="32">
        <v>2021</v>
      </c>
      <c r="C28" s="494" t="s">
        <v>277</v>
      </c>
      <c r="D28" s="259" cm="1">
        <f t="array" aca="1" ref="D28" ca="1">_xlfn.XLOOKUP(D$13,INDIRECT("'"&amp;$B28&amp;" EI'!$B$6:$B$53"),_xlfn.XLOOKUP($C$10,INDIRECT("'"&amp;$B28&amp;" EI'!$D$4:$Z$4"),INDIRECT("'"&amp;$B28&amp;" EI'!$D$6:$Z$53")))*_xlfn.XLOOKUP($B28&amp;D$15,'Gas Useage'!$A$4:$A$15&amp;'Gas Useage'!$B$4:$B$15,_xlfn.XLOOKUP($C28&amp;D$14,'Gas Useage'!$C$2:$AB$2&amp;'Gas Useage'!$C$3:$AB$3,'Gas Useage'!$C$4:$AB$15))/_xlfn.XLOOKUP($B28&amp;D$15,'Gas Useage'!$A$4:$A$15&amp;'Gas Useage'!$B$4:$B$15,_xlfn.XLOOKUP(D$14,'Gas Useage'!$AA$3:$AB$3,'Gas Useage'!$AA$4:$AB$15))</f>
        <v>1.2788446212495213E-3</v>
      </c>
      <c r="E28" s="259" cm="1">
        <f t="array" aca="1" ref="E28" ca="1">_xlfn.XLOOKUP(E$13,INDIRECT("'"&amp;$B28&amp;" EI'!$B$6:$B$53"),_xlfn.XLOOKUP($C$10,INDIRECT("'"&amp;$B28&amp;" EI'!$D$4:$Z$4"),INDIRECT("'"&amp;$B28&amp;" EI'!$D$6:$Z$53")))*_xlfn.XLOOKUP($B28&amp;E$15,'Gas Useage'!$A$4:$A$15&amp;'Gas Useage'!$B$4:$B$15,_xlfn.XLOOKUP($C28&amp;E$14,'Gas Useage'!$C$2:$AB$2&amp;'Gas Useage'!$C$3:$AB$3,'Gas Useage'!$C$4:$AB$15))/_xlfn.XLOOKUP($B28&amp;E$15,'Gas Useage'!$A$4:$A$15&amp;'Gas Useage'!$B$4:$B$15,_xlfn.XLOOKUP(E$14,'Gas Useage'!$AA$3:$AB$3,'Gas Useage'!$AA$4:$AB$15))</f>
        <v>4.3659076997731247E-5</v>
      </c>
      <c r="F28" s="259" cm="1">
        <f t="array" aca="1" ref="F28" ca="1">_xlfn.XLOOKUP(F$13,INDIRECT("'"&amp;$B28&amp;" EI'!$B$6:$B$53"),_xlfn.XLOOKUP($C$10,INDIRECT("'"&amp;$B28&amp;" EI'!$D$4:$Z$4"),INDIRECT("'"&amp;$B28&amp;" EI'!$D$6:$Z$53")))*_xlfn.XLOOKUP($B28&amp;F$15,'Gas Useage'!$A$4:$A$15&amp;'Gas Useage'!$B$4:$B$15,_xlfn.XLOOKUP($C28&amp;F$14,'Gas Useage'!$C$2:$AB$2&amp;'Gas Useage'!$C$3:$AB$3,'Gas Useage'!$C$4:$AB$15))/_xlfn.XLOOKUP($B28&amp;F$15,'Gas Useage'!$A$4:$A$15&amp;'Gas Useage'!$B$4:$B$15,_xlfn.XLOOKUP(F$14,'Gas Useage'!$AA$3:$AB$3,'Gas Useage'!$AA$4:$AB$15))</f>
        <v>1.5842296068012257E-3</v>
      </c>
      <c r="G28" s="259" cm="1">
        <f t="array" aca="1" ref="G28" ca="1">_xlfn.XLOOKUP(G$13,INDIRECT("'"&amp;$B28&amp;" EI'!$B$6:$B$53"),_xlfn.XLOOKUP($C$10,INDIRECT("'"&amp;$B28&amp;" EI'!$D$4:$Z$4"),INDIRECT("'"&amp;$B28&amp;" EI'!$D$6:$Z$53")))*_xlfn.XLOOKUP($B28&amp;G$15,'Gas Useage'!$A$4:$A$15&amp;'Gas Useage'!$B$4:$B$15,_xlfn.XLOOKUP($C28&amp;G$14,'Gas Useage'!$C$2:$AB$2&amp;'Gas Useage'!$C$3:$AB$3,'Gas Useage'!$C$4:$AB$15))/_xlfn.XLOOKUP($B28&amp;G$15,'Gas Useage'!$A$4:$A$15&amp;'Gas Useage'!$B$4:$B$15,_xlfn.XLOOKUP(G$14,'Gas Useage'!$AA$3:$AB$3,'Gas Useage'!$AA$4:$AB$15))</f>
        <v>5.4084758410947636E-5</v>
      </c>
      <c r="H28" s="260" t="s">
        <v>278</v>
      </c>
      <c r="I28" s="260" t="s">
        <v>278</v>
      </c>
      <c r="J28" s="260" t="s">
        <v>278</v>
      </c>
      <c r="K28" s="261" t="s">
        <v>278</v>
      </c>
      <c r="N28" s="258"/>
    </row>
    <row r="29" spans="2:14" ht="13.5" x14ac:dyDescent="0.25">
      <c r="B29" s="32">
        <v>2021</v>
      </c>
      <c r="C29" s="494" t="s">
        <v>279</v>
      </c>
      <c r="D29" s="259" cm="1">
        <f t="array" aca="1" ref="D29" ca="1">_xlfn.XLOOKUP(D$13,INDIRECT("'"&amp;$B29&amp;" EI'!$B$6:$B$53"),_xlfn.XLOOKUP($C$10,INDIRECT("'"&amp;$B29&amp;" EI'!$D$4:$Z$4"),INDIRECT("'"&amp;$B29&amp;" EI'!$D$6:$Z$53")))*_xlfn.XLOOKUP($B29&amp;D$15,'Gas Useage'!$A$4:$A$15&amp;'Gas Useage'!$B$4:$B$15,_xlfn.XLOOKUP($C29&amp;D$14,'Gas Useage'!$C$2:$AB$2&amp;'Gas Useage'!$C$3:$AB$3,'Gas Useage'!$C$4:$AB$15))/_xlfn.XLOOKUP($B29&amp;D$15,'Gas Useage'!$A$4:$A$15&amp;'Gas Useage'!$B$4:$B$15,_xlfn.XLOOKUP(D$14,'Gas Useage'!$AA$3:$AB$3,'Gas Useage'!$AA$4:$AB$15))</f>
        <v>8.679474932790258E-4</v>
      </c>
      <c r="E29" s="259" cm="1">
        <f t="array" aca="1" ref="E29" ca="1">_xlfn.XLOOKUP(E$13,INDIRECT("'"&amp;$B29&amp;" EI'!$B$6:$B$53"),_xlfn.XLOOKUP($C$10,INDIRECT("'"&amp;$B29&amp;" EI'!$D$4:$Z$4"),INDIRECT("'"&amp;$B29&amp;" EI'!$D$6:$Z$53")))*_xlfn.XLOOKUP($B29&amp;E$15,'Gas Useage'!$A$4:$A$15&amp;'Gas Useage'!$B$4:$B$15,_xlfn.XLOOKUP($C29&amp;E$14,'Gas Useage'!$C$2:$AB$2&amp;'Gas Useage'!$C$3:$AB$3,'Gas Useage'!$C$4:$AB$15))/_xlfn.XLOOKUP($B29&amp;E$15,'Gas Useage'!$A$4:$A$15&amp;'Gas Useage'!$B$4:$B$15,_xlfn.XLOOKUP(E$14,'Gas Useage'!$AA$3:$AB$3,'Gas Useage'!$AA$4:$AB$15))</f>
        <v>6.3167730503270884E-5</v>
      </c>
      <c r="F29" s="259" cm="1">
        <f t="array" aca="1" ref="F29" ca="1">_xlfn.XLOOKUP(F$13,INDIRECT("'"&amp;$B29&amp;" EI'!$B$6:$B$53"),_xlfn.XLOOKUP($C$10,INDIRECT("'"&amp;$B29&amp;" EI'!$D$4:$Z$4"),INDIRECT("'"&amp;$B29&amp;" EI'!$D$6:$Z$53")))*_xlfn.XLOOKUP($B29&amp;F$15,'Gas Useage'!$A$4:$A$15&amp;'Gas Useage'!$B$4:$B$15,_xlfn.XLOOKUP($C29&amp;F$14,'Gas Useage'!$C$2:$AB$2&amp;'Gas Useage'!$C$3:$AB$3,'Gas Useage'!$C$4:$AB$15))/_xlfn.XLOOKUP($B29&amp;F$15,'Gas Useage'!$A$4:$A$15&amp;'Gas Useage'!$B$4:$B$15,_xlfn.XLOOKUP(F$14,'Gas Useage'!$AA$3:$AB$3,'Gas Useage'!$AA$4:$AB$15))</f>
        <v>1.1901036296880735E-3</v>
      </c>
      <c r="G29" s="259" cm="1">
        <f t="array" aca="1" ref="G29" ca="1">_xlfn.XLOOKUP(G$13,INDIRECT("'"&amp;$B29&amp;" EI'!$B$6:$B$53"),_xlfn.XLOOKUP($C$10,INDIRECT("'"&amp;$B29&amp;" EI'!$D$4:$Z$4"),INDIRECT("'"&amp;$B29&amp;" EI'!$D$6:$Z$53")))*_xlfn.XLOOKUP($B29&amp;G$15,'Gas Useage'!$A$4:$A$15&amp;'Gas Useage'!$B$4:$B$15,_xlfn.XLOOKUP($C29&amp;G$14,'Gas Useage'!$C$2:$AB$2&amp;'Gas Useage'!$C$3:$AB$3,'Gas Useage'!$C$4:$AB$15))/_xlfn.XLOOKUP($B29&amp;G$15,'Gas Useage'!$A$4:$A$15&amp;'Gas Useage'!$B$4:$B$15,_xlfn.XLOOKUP(G$14,'Gas Useage'!$AA$3:$AB$3,'Gas Useage'!$AA$4:$AB$15))</f>
        <v>8.6613701788678635E-5</v>
      </c>
      <c r="H29" s="260" t="s">
        <v>278</v>
      </c>
      <c r="I29" s="260" t="s">
        <v>278</v>
      </c>
      <c r="J29" s="260" t="s">
        <v>278</v>
      </c>
      <c r="K29" s="261" t="s">
        <v>278</v>
      </c>
      <c r="N29" s="258"/>
    </row>
    <row r="30" spans="2:14" ht="13.5" x14ac:dyDescent="0.25">
      <c r="B30" s="32">
        <v>2021</v>
      </c>
      <c r="C30" s="494" t="s">
        <v>280</v>
      </c>
      <c r="D30" s="259" cm="1">
        <f t="array" aca="1" ref="D30" ca="1">_xlfn.XLOOKUP(D$13,INDIRECT("'"&amp;$B30&amp;" EI'!$B$6:$B$53"),_xlfn.XLOOKUP($C$10,INDIRECT("'"&amp;$B30&amp;" EI'!$D$4:$Z$4"),INDIRECT("'"&amp;$B30&amp;" EI'!$D$6:$Z$53")))*_xlfn.XLOOKUP($B30&amp;D$15,'Gas Useage'!$A$4:$A$15&amp;'Gas Useage'!$B$4:$B$15,_xlfn.XLOOKUP($C30&amp;D$14,'Gas Useage'!$C$2:$AB$2&amp;'Gas Useage'!$C$3:$AB$3,'Gas Useage'!$C$4:$AB$15))/_xlfn.XLOOKUP($B30&amp;D$15,'Gas Useage'!$A$4:$A$15&amp;'Gas Useage'!$B$4:$B$15,_xlfn.XLOOKUP(D$14,'Gas Useage'!$AA$3:$AB$3,'Gas Useage'!$AA$4:$AB$15))</f>
        <v>1.8141839579573337E-3</v>
      </c>
      <c r="E30" s="259" cm="1">
        <f t="array" aca="1" ref="E30" ca="1">_xlfn.XLOOKUP(E$13,INDIRECT("'"&amp;$B30&amp;" EI'!$B$6:$B$53"),_xlfn.XLOOKUP($C$10,INDIRECT("'"&amp;$B30&amp;" EI'!$D$4:$Z$4"),INDIRECT("'"&amp;$B30&amp;" EI'!$D$6:$Z$53")))*_xlfn.XLOOKUP($B30&amp;E$15,'Gas Useage'!$A$4:$A$15&amp;'Gas Useage'!$B$4:$B$15,_xlfn.XLOOKUP($C30&amp;E$14,'Gas Useage'!$C$2:$AB$2&amp;'Gas Useage'!$C$3:$AB$3,'Gas Useage'!$C$4:$AB$15))/_xlfn.XLOOKUP($B30&amp;E$15,'Gas Useage'!$A$4:$A$15&amp;'Gas Useage'!$B$4:$B$15,_xlfn.XLOOKUP(E$14,'Gas Useage'!$AA$3:$AB$3,'Gas Useage'!$AA$4:$AB$15))</f>
        <v>1.0323057688128721E-4</v>
      </c>
      <c r="F30" s="259" cm="1">
        <f t="array" aca="1" ref="F30" ca="1">_xlfn.XLOOKUP(F$13,INDIRECT("'"&amp;$B30&amp;" EI'!$B$6:$B$53"),_xlfn.XLOOKUP($C$10,INDIRECT("'"&amp;$B30&amp;" EI'!$D$4:$Z$4"),INDIRECT("'"&amp;$B30&amp;" EI'!$D$6:$Z$53")))*_xlfn.XLOOKUP($B30&amp;F$15,'Gas Useage'!$A$4:$A$15&amp;'Gas Useage'!$B$4:$B$15,_xlfn.XLOOKUP($C30&amp;F$14,'Gas Useage'!$C$2:$AB$2&amp;'Gas Useage'!$C$3:$AB$3,'Gas Useage'!$C$4:$AB$15))/_xlfn.XLOOKUP($B30&amp;F$15,'Gas Useage'!$A$4:$A$15&amp;'Gas Useage'!$B$4:$B$15,_xlfn.XLOOKUP(F$14,'Gas Useage'!$AA$3:$AB$3,'Gas Useage'!$AA$4:$AB$15))</f>
        <v>1.2536893448990146E-3</v>
      </c>
      <c r="G30" s="259" cm="1">
        <f t="array" aca="1" ref="G30" ca="1">_xlfn.XLOOKUP(G$13,INDIRECT("'"&amp;$B30&amp;" EI'!$B$6:$B$53"),_xlfn.XLOOKUP($C$10,INDIRECT("'"&amp;$B30&amp;" EI'!$D$4:$Z$4"),INDIRECT("'"&amp;$B30&amp;" EI'!$D$6:$Z$53")))*_xlfn.XLOOKUP($B30&amp;G$15,'Gas Useage'!$A$4:$A$15&amp;'Gas Useage'!$B$4:$B$15,_xlfn.XLOOKUP($C30&amp;G$14,'Gas Useage'!$C$2:$AB$2&amp;'Gas Useage'!$C$3:$AB$3,'Gas Useage'!$C$4:$AB$15))/_xlfn.XLOOKUP($B30&amp;G$15,'Gas Useage'!$A$4:$A$15&amp;'Gas Useage'!$B$4:$B$15,_xlfn.XLOOKUP(G$14,'Gas Useage'!$AA$3:$AB$3,'Gas Useage'!$AA$4:$AB$15))</f>
        <v>7.1337349079840092E-5</v>
      </c>
      <c r="H30" s="260" t="s">
        <v>278</v>
      </c>
      <c r="I30" s="260" t="s">
        <v>278</v>
      </c>
      <c r="J30" s="260" t="s">
        <v>278</v>
      </c>
      <c r="K30" s="261" t="s">
        <v>278</v>
      </c>
      <c r="N30" s="258"/>
    </row>
    <row r="31" spans="2:14" ht="13.5" x14ac:dyDescent="0.25">
      <c r="B31" s="32">
        <v>2021</v>
      </c>
      <c r="C31" s="494" t="s">
        <v>281</v>
      </c>
      <c r="D31" s="259" cm="1">
        <f t="array" aca="1" ref="D31" ca="1">_xlfn.XLOOKUP(D$13,INDIRECT("'"&amp;$B31&amp;" EI'!$B$6:$B$53"),_xlfn.XLOOKUP($C$10,INDIRECT("'"&amp;$B31&amp;" EI'!$D$4:$Z$4"),INDIRECT("'"&amp;$B31&amp;" EI'!$D$6:$Z$53")))*_xlfn.XLOOKUP($B31&amp;D$15,'Gas Useage'!$A$4:$A$15&amp;'Gas Useage'!$B$4:$B$15,_xlfn.XLOOKUP($C31&amp;D$14,'Gas Useage'!$C$2:$AB$2&amp;'Gas Useage'!$C$3:$AB$3,'Gas Useage'!$C$4:$AB$15))/_xlfn.XLOOKUP($B31&amp;D$15,'Gas Useage'!$A$4:$A$15&amp;'Gas Useage'!$B$4:$B$15,_xlfn.XLOOKUP(D$14,'Gas Useage'!$AA$3:$AB$3,'Gas Useage'!$AA$4:$AB$15))</f>
        <v>8.1414097017522204E-4</v>
      </c>
      <c r="E31" s="259" cm="1">
        <f t="array" aca="1" ref="E31" ca="1">_xlfn.XLOOKUP(E$13,INDIRECT("'"&amp;$B31&amp;" EI'!$B$6:$B$53"),_xlfn.XLOOKUP($C$10,INDIRECT("'"&amp;$B31&amp;" EI'!$D$4:$Z$4"),INDIRECT("'"&amp;$B31&amp;" EI'!$D$6:$Z$53")))*_xlfn.XLOOKUP($B31&amp;E$15,'Gas Useage'!$A$4:$A$15&amp;'Gas Useage'!$B$4:$B$15,_xlfn.XLOOKUP($C31&amp;E$14,'Gas Useage'!$C$2:$AB$2&amp;'Gas Useage'!$C$3:$AB$3,'Gas Useage'!$C$4:$AB$15))/_xlfn.XLOOKUP($B31&amp;E$15,'Gas Useage'!$A$4:$A$15&amp;'Gas Useage'!$B$4:$B$15,_xlfn.XLOOKUP(E$14,'Gas Useage'!$AA$3:$AB$3,'Gas Useage'!$AA$4:$AB$15))</f>
        <v>3.7922665697273137E-5</v>
      </c>
      <c r="F31" s="259" cm="1">
        <f t="array" aca="1" ref="F31" ca="1">_xlfn.XLOOKUP(F$13,INDIRECT("'"&amp;$B31&amp;" EI'!$B$6:$B$53"),_xlfn.XLOOKUP($C$10,INDIRECT("'"&amp;$B31&amp;" EI'!$D$4:$Z$4"),INDIRECT("'"&amp;$B31&amp;" EI'!$D$6:$Z$53")))*_xlfn.XLOOKUP($B31&amp;F$15,'Gas Useage'!$A$4:$A$15&amp;'Gas Useage'!$B$4:$B$15,_xlfn.XLOOKUP($C31&amp;F$14,'Gas Useage'!$C$2:$AB$2&amp;'Gas Useage'!$C$3:$AB$3,'Gas Useage'!$C$4:$AB$15))/_xlfn.XLOOKUP($B31&amp;F$15,'Gas Useage'!$A$4:$A$15&amp;'Gas Useage'!$B$4:$B$15,_xlfn.XLOOKUP(F$14,'Gas Useage'!$AA$3:$AB$3,'Gas Useage'!$AA$4:$AB$15))</f>
        <v>1.1918962356616744E-3</v>
      </c>
      <c r="G31" s="259" cm="1">
        <f t="array" aca="1" ref="G31" ca="1">_xlfn.XLOOKUP(G$13,INDIRECT("'"&amp;$B31&amp;" EI'!$B$6:$B$53"),_xlfn.XLOOKUP($C$10,INDIRECT("'"&amp;$B31&amp;" EI'!$D$4:$Z$4"),INDIRECT("'"&amp;$B31&amp;" EI'!$D$6:$Z$53")))*_xlfn.XLOOKUP($B31&amp;G$15,'Gas Useage'!$A$4:$A$15&amp;'Gas Useage'!$B$4:$B$15,_xlfn.XLOOKUP($C31&amp;G$14,'Gas Useage'!$C$2:$AB$2&amp;'Gas Useage'!$C$3:$AB$3,'Gas Useage'!$C$4:$AB$15))/_xlfn.XLOOKUP($B31&amp;G$15,'Gas Useage'!$A$4:$A$15&amp;'Gas Useage'!$B$4:$B$15,_xlfn.XLOOKUP(G$14,'Gas Useage'!$AA$3:$AB$3,'Gas Useage'!$AA$4:$AB$15))</f>
        <v>5.5518496362009498E-5</v>
      </c>
      <c r="H31" s="260" t="s">
        <v>278</v>
      </c>
      <c r="I31" s="260" t="s">
        <v>278</v>
      </c>
      <c r="J31" s="260" t="s">
        <v>278</v>
      </c>
      <c r="K31" s="261" t="s">
        <v>278</v>
      </c>
      <c r="N31" s="258"/>
    </row>
    <row r="32" spans="2:14" ht="13.5" x14ac:dyDescent="0.25">
      <c r="B32" s="32">
        <v>2021</v>
      </c>
      <c r="C32" s="494" t="s">
        <v>282</v>
      </c>
      <c r="D32" s="259" cm="1">
        <f t="array" aca="1" ref="D32" ca="1">_xlfn.XLOOKUP(D$13,INDIRECT("'"&amp;$B32&amp;" EI'!$B$6:$B$53"),_xlfn.XLOOKUP($C$10,INDIRECT("'"&amp;$B32&amp;" EI'!$D$4:$Z$4"),INDIRECT("'"&amp;$B32&amp;" EI'!$D$6:$Z$53")))*_xlfn.XLOOKUP($B32&amp;D$15,'Gas Useage'!$A$4:$A$15&amp;'Gas Useage'!$B$4:$B$15,_xlfn.XLOOKUP($C32&amp;D$14,'Gas Useage'!$C$2:$AB$2&amp;'Gas Useage'!$C$3:$AB$3,'Gas Useage'!$C$4:$AB$15))/_xlfn.XLOOKUP($B32&amp;D$15,'Gas Useage'!$A$4:$A$15&amp;'Gas Useage'!$B$4:$B$15,_xlfn.XLOOKUP(D$14,'Gas Useage'!$AA$3:$AB$3,'Gas Useage'!$AA$4:$AB$15))</f>
        <v>5.9455819254864285E-4</v>
      </c>
      <c r="E32" s="259" cm="1">
        <f t="array" aca="1" ref="E32" ca="1">_xlfn.XLOOKUP(E$13,INDIRECT("'"&amp;$B32&amp;" EI'!$B$6:$B$53"),_xlfn.XLOOKUP($C$10,INDIRECT("'"&amp;$B32&amp;" EI'!$D$4:$Z$4"),INDIRECT("'"&amp;$B32&amp;" EI'!$D$6:$Z$53")))*_xlfn.XLOOKUP($B32&amp;E$15,'Gas Useage'!$A$4:$A$15&amp;'Gas Useage'!$B$4:$B$15,_xlfn.XLOOKUP($C32&amp;E$14,'Gas Useage'!$C$2:$AB$2&amp;'Gas Useage'!$C$3:$AB$3,'Gas Useage'!$C$4:$AB$15))/_xlfn.XLOOKUP($B32&amp;E$15,'Gas Useage'!$A$4:$A$15&amp;'Gas Useage'!$B$4:$B$15,_xlfn.XLOOKUP(E$14,'Gas Useage'!$AA$3:$AB$3,'Gas Useage'!$AA$4:$AB$15))</f>
        <v>2.4944920730650302E-5</v>
      </c>
      <c r="F32" s="259" cm="1">
        <f t="array" aca="1" ref="F32" ca="1">_xlfn.XLOOKUP(F$13,INDIRECT("'"&amp;$B32&amp;" EI'!$B$6:$B$53"),_xlfn.XLOOKUP($C$10,INDIRECT("'"&amp;$B32&amp;" EI'!$D$4:$Z$4"),INDIRECT("'"&amp;$B32&amp;" EI'!$D$6:$Z$53")))*_xlfn.XLOOKUP($B32&amp;F$15,'Gas Useage'!$A$4:$A$15&amp;'Gas Useage'!$B$4:$B$15,_xlfn.XLOOKUP($C32&amp;F$14,'Gas Useage'!$C$2:$AB$2&amp;'Gas Useage'!$C$3:$AB$3,'Gas Useage'!$C$4:$AB$15))/_xlfn.XLOOKUP($B32&amp;F$15,'Gas Useage'!$A$4:$A$15&amp;'Gas Useage'!$B$4:$B$15,_xlfn.XLOOKUP(F$14,'Gas Useage'!$AA$3:$AB$3,'Gas Useage'!$AA$4:$AB$15))</f>
        <v>1.1470862135910095E-3</v>
      </c>
      <c r="G32" s="259" cm="1">
        <f t="array" aca="1" ref="G32" ca="1">_xlfn.XLOOKUP(G$13,INDIRECT("'"&amp;$B32&amp;" EI'!$B$6:$B$53"),_xlfn.XLOOKUP($C$10,INDIRECT("'"&amp;$B32&amp;" EI'!$D$4:$Z$4"),INDIRECT("'"&amp;$B32&amp;" EI'!$D$6:$Z$53")))*_xlfn.XLOOKUP($B32&amp;G$15,'Gas Useage'!$A$4:$A$15&amp;'Gas Useage'!$B$4:$B$15,_xlfn.XLOOKUP($C32&amp;G$14,'Gas Useage'!$C$2:$AB$2&amp;'Gas Useage'!$C$3:$AB$3,'Gas Useage'!$C$4:$AB$15))/_xlfn.XLOOKUP($B32&amp;G$15,'Gas Useage'!$A$4:$A$15&amp;'Gas Useage'!$B$4:$B$15,_xlfn.XLOOKUP(G$14,'Gas Useage'!$AA$3:$AB$3,'Gas Useage'!$AA$4:$AB$15))</f>
        <v>4.8126449232147297E-5</v>
      </c>
      <c r="H32" s="260" t="s">
        <v>278</v>
      </c>
      <c r="I32" s="260" t="s">
        <v>278</v>
      </c>
      <c r="J32" s="260" t="s">
        <v>278</v>
      </c>
      <c r="K32" s="261" t="s">
        <v>278</v>
      </c>
      <c r="N32" s="258"/>
    </row>
    <row r="33" spans="2:14" ht="13.5" x14ac:dyDescent="0.25">
      <c r="B33" s="32">
        <v>2021</v>
      </c>
      <c r="C33" s="494" t="s">
        <v>283</v>
      </c>
      <c r="D33" s="259" cm="1">
        <f t="array" aca="1" ref="D33" ca="1">_xlfn.XLOOKUP(D$13,INDIRECT("'"&amp;$B33&amp;" EI'!$B$6:$B$53"),_xlfn.XLOOKUP($C$10,INDIRECT("'"&amp;$B33&amp;" EI'!$D$4:$Z$4"),INDIRECT("'"&amp;$B33&amp;" EI'!$D$6:$Z$53")))*_xlfn.XLOOKUP($B33&amp;D$15,'Gas Useage'!$A$4:$A$15&amp;'Gas Useage'!$B$4:$B$15,_xlfn.XLOOKUP($C33&amp;D$14,'Gas Useage'!$C$2:$AB$2&amp;'Gas Useage'!$C$3:$AB$3,'Gas Useage'!$C$4:$AB$15))/_xlfn.XLOOKUP($B33&amp;D$15,'Gas Useage'!$A$4:$A$15&amp;'Gas Useage'!$B$4:$B$15,_xlfn.XLOOKUP(D$14,'Gas Useage'!$AA$3:$AB$3,'Gas Useage'!$AA$4:$AB$15))</f>
        <v>2.6987227892943824E-4</v>
      </c>
      <c r="E33" s="259" cm="1">
        <f t="array" aca="1" ref="E33" ca="1">_xlfn.XLOOKUP(E$13,INDIRECT("'"&amp;$B33&amp;" EI'!$B$6:$B$53"),_xlfn.XLOOKUP($C$10,INDIRECT("'"&amp;$B33&amp;" EI'!$D$4:$Z$4"),INDIRECT("'"&amp;$B33&amp;" EI'!$D$6:$Z$53")))*_xlfn.XLOOKUP($B33&amp;E$15,'Gas Useage'!$A$4:$A$15&amp;'Gas Useage'!$B$4:$B$15,_xlfn.XLOOKUP($C33&amp;E$14,'Gas Useage'!$C$2:$AB$2&amp;'Gas Useage'!$C$3:$AB$3,'Gas Useage'!$C$4:$AB$15))/_xlfn.XLOOKUP($B33&amp;E$15,'Gas Useage'!$A$4:$A$15&amp;'Gas Useage'!$B$4:$B$15,_xlfn.XLOOKUP(E$14,'Gas Useage'!$AA$3:$AB$3,'Gas Useage'!$AA$4:$AB$15))</f>
        <v>8.5993569235784057E-6</v>
      </c>
      <c r="F33" s="259" cm="1">
        <f t="array" aca="1" ref="F33" ca="1">_xlfn.XLOOKUP(F$13,INDIRECT("'"&amp;$B33&amp;" EI'!$B$6:$B$53"),_xlfn.XLOOKUP($C$10,INDIRECT("'"&amp;$B33&amp;" EI'!$D$4:$Z$4"),INDIRECT("'"&amp;$B33&amp;" EI'!$D$6:$Z$53")))*_xlfn.XLOOKUP($B33&amp;F$15,'Gas Useage'!$A$4:$A$15&amp;'Gas Useage'!$B$4:$B$15,_xlfn.XLOOKUP($C33&amp;F$14,'Gas Useage'!$C$2:$AB$2&amp;'Gas Useage'!$C$3:$AB$3,'Gas Useage'!$C$4:$AB$15))/_xlfn.XLOOKUP($B33&amp;F$15,'Gas Useage'!$A$4:$A$15&amp;'Gas Useage'!$B$4:$B$15,_xlfn.XLOOKUP(F$14,'Gas Useage'!$AA$3:$AB$3,'Gas Useage'!$AA$4:$AB$15))</f>
        <v>5.4673126096576165E-4</v>
      </c>
      <c r="G33" s="259" cm="1">
        <f t="array" aca="1" ref="G33" ca="1">_xlfn.XLOOKUP(G$13,INDIRECT("'"&amp;$B33&amp;" EI'!$B$6:$B$53"),_xlfn.XLOOKUP($C$10,INDIRECT("'"&amp;$B33&amp;" EI'!$D$4:$Z$4"),INDIRECT("'"&amp;$B33&amp;" EI'!$D$6:$Z$53")))*_xlfn.XLOOKUP($B33&amp;G$15,'Gas Useage'!$A$4:$A$15&amp;'Gas Useage'!$B$4:$B$15,_xlfn.XLOOKUP($C33&amp;G$14,'Gas Useage'!$C$2:$AB$2&amp;'Gas Useage'!$C$3:$AB$3,'Gas Useage'!$C$4:$AB$15))/_xlfn.XLOOKUP($B33&amp;G$15,'Gas Useage'!$A$4:$A$15&amp;'Gas Useage'!$B$4:$B$15,_xlfn.XLOOKUP(G$14,'Gas Useage'!$AA$3:$AB$3,'Gas Useage'!$AA$4:$AB$15))</f>
        <v>1.7421341950989915E-5</v>
      </c>
      <c r="H33" s="260" t="s">
        <v>278</v>
      </c>
      <c r="I33" s="260" t="s">
        <v>278</v>
      </c>
      <c r="J33" s="260" t="s">
        <v>278</v>
      </c>
      <c r="K33" s="261" t="s">
        <v>278</v>
      </c>
      <c r="N33" s="258"/>
    </row>
    <row r="34" spans="2:14" ht="13.5" x14ac:dyDescent="0.25">
      <c r="B34" s="32">
        <v>2021</v>
      </c>
      <c r="C34" s="494" t="s">
        <v>284</v>
      </c>
      <c r="D34" s="259" cm="1">
        <f t="array" aca="1" ref="D34" ca="1">_xlfn.XLOOKUP(D$13,INDIRECT("'"&amp;$B34&amp;" EI'!$B$6:$B$53"),_xlfn.XLOOKUP($C$10,INDIRECT("'"&amp;$B34&amp;" EI'!$D$4:$Z$4"),INDIRECT("'"&amp;$B34&amp;" EI'!$D$6:$Z$53")))*_xlfn.XLOOKUP($B34&amp;D$15,'Gas Useage'!$A$4:$A$15&amp;'Gas Useage'!$B$4:$B$15,_xlfn.XLOOKUP($C34&amp;D$14,'Gas Useage'!$C$2:$AB$2&amp;'Gas Useage'!$C$3:$AB$3,'Gas Useage'!$C$4:$AB$15))/_xlfn.XLOOKUP($B34&amp;D$15,'Gas Useage'!$A$4:$A$15&amp;'Gas Useage'!$B$4:$B$15,_xlfn.XLOOKUP(D$14,'Gas Useage'!$AA$3:$AB$3,'Gas Useage'!$AA$4:$AB$15))</f>
        <v>6.034147883512566E-4</v>
      </c>
      <c r="E34" s="259" cm="1">
        <f t="array" aca="1" ref="E34" ca="1">_xlfn.XLOOKUP(E$13,INDIRECT("'"&amp;$B34&amp;" EI'!$B$6:$B$53"),_xlfn.XLOOKUP($C$10,INDIRECT("'"&amp;$B34&amp;" EI'!$D$4:$Z$4"),INDIRECT("'"&amp;$B34&amp;" EI'!$D$6:$Z$53")))*_xlfn.XLOOKUP($B34&amp;E$15,'Gas Useage'!$A$4:$A$15&amp;'Gas Useage'!$B$4:$B$15,_xlfn.XLOOKUP($C34&amp;E$14,'Gas Useage'!$C$2:$AB$2&amp;'Gas Useage'!$C$3:$AB$3,'Gas Useage'!$C$4:$AB$15))/_xlfn.XLOOKUP($B34&amp;E$15,'Gas Useage'!$A$4:$A$15&amp;'Gas Useage'!$B$4:$B$15,_xlfn.XLOOKUP(E$14,'Gas Useage'!$AA$3:$AB$3,'Gas Useage'!$AA$4:$AB$15))</f>
        <v>1.4463097392092299E-5</v>
      </c>
      <c r="F34" s="259" cm="1">
        <f t="array" aca="1" ref="F34" ca="1">_xlfn.XLOOKUP(F$13,INDIRECT("'"&amp;$B34&amp;" EI'!$B$6:$B$53"),_xlfn.XLOOKUP($C$10,INDIRECT("'"&amp;$B34&amp;" EI'!$D$4:$Z$4"),INDIRECT("'"&amp;$B34&amp;" EI'!$D$6:$Z$53")))*_xlfn.XLOOKUP($B34&amp;F$15,'Gas Useage'!$A$4:$A$15&amp;'Gas Useage'!$B$4:$B$15,_xlfn.XLOOKUP($C34&amp;F$14,'Gas Useage'!$C$2:$AB$2&amp;'Gas Useage'!$C$3:$AB$3,'Gas Useage'!$C$4:$AB$15))/_xlfn.XLOOKUP($B34&amp;F$15,'Gas Useage'!$A$4:$A$15&amp;'Gas Useage'!$B$4:$B$15,_xlfn.XLOOKUP(F$14,'Gas Useage'!$AA$3:$AB$3,'Gas Useage'!$AA$4:$AB$15))</f>
        <v>6.7413583019661531E-4</v>
      </c>
      <c r="G34" s="259" cm="1">
        <f t="array" aca="1" ref="G34" ca="1">_xlfn.XLOOKUP(G$13,INDIRECT("'"&amp;$B34&amp;" EI'!$B$6:$B$53"),_xlfn.XLOOKUP($C$10,INDIRECT("'"&amp;$B34&amp;" EI'!$D$4:$Z$4"),INDIRECT("'"&amp;$B34&amp;" EI'!$D$6:$Z$53")))*_xlfn.XLOOKUP($B34&amp;G$15,'Gas Useage'!$A$4:$A$15&amp;'Gas Useage'!$B$4:$B$15,_xlfn.XLOOKUP($C34&amp;G$14,'Gas Useage'!$C$2:$AB$2&amp;'Gas Useage'!$C$3:$AB$3,'Gas Useage'!$C$4:$AB$15))/_xlfn.XLOOKUP($B34&amp;G$15,'Gas Useage'!$A$4:$A$15&amp;'Gas Useage'!$B$4:$B$15,_xlfn.XLOOKUP(G$14,'Gas Useage'!$AA$3:$AB$3,'Gas Useage'!$AA$4:$AB$15))</f>
        <v>1.6158192268163254E-5</v>
      </c>
      <c r="H34" s="260" t="s">
        <v>278</v>
      </c>
      <c r="I34" s="260" t="s">
        <v>278</v>
      </c>
      <c r="J34" s="260" t="s">
        <v>278</v>
      </c>
      <c r="K34" s="261" t="s">
        <v>278</v>
      </c>
      <c r="N34" s="258"/>
    </row>
    <row r="35" spans="2:14" ht="13.5" x14ac:dyDescent="0.25">
      <c r="B35" s="32">
        <v>2021</v>
      </c>
      <c r="C35" s="494" t="s">
        <v>285</v>
      </c>
      <c r="D35" s="259" cm="1">
        <f t="array" aca="1" ref="D35" ca="1">_xlfn.XLOOKUP(D$13,INDIRECT("'"&amp;$B35&amp;" EI'!$B$6:$B$53"),_xlfn.XLOOKUP($C$10,INDIRECT("'"&amp;$B35&amp;" EI'!$D$4:$Z$4"),INDIRECT("'"&amp;$B35&amp;" EI'!$D$6:$Z$53")))*_xlfn.XLOOKUP($B35&amp;D$15,'Gas Useage'!$A$4:$A$15&amp;'Gas Useage'!$B$4:$B$15,_xlfn.XLOOKUP($C35&amp;D$14,'Gas Useage'!$C$2:$AB$2&amp;'Gas Useage'!$C$3:$AB$3,'Gas Useage'!$C$4:$AB$15))/_xlfn.XLOOKUP($B35&amp;D$15,'Gas Useage'!$A$4:$A$15&amp;'Gas Useage'!$B$4:$B$15,_xlfn.XLOOKUP(D$14,'Gas Useage'!$AA$3:$AB$3,'Gas Useage'!$AA$4:$AB$15))</f>
        <v>7.2748075142834844E-4</v>
      </c>
      <c r="E35" s="259" cm="1">
        <f t="array" aca="1" ref="E35" ca="1">_xlfn.XLOOKUP(E$13,INDIRECT("'"&amp;$B35&amp;" EI'!$B$6:$B$53"),_xlfn.XLOOKUP($C$10,INDIRECT("'"&amp;$B35&amp;" EI'!$D$4:$Z$4"),INDIRECT("'"&amp;$B35&amp;" EI'!$D$6:$Z$53")))*_xlfn.XLOOKUP($B35&amp;E$15,'Gas Useage'!$A$4:$A$15&amp;'Gas Useage'!$B$4:$B$15,_xlfn.XLOOKUP($C35&amp;E$14,'Gas Useage'!$C$2:$AB$2&amp;'Gas Useage'!$C$3:$AB$3,'Gas Useage'!$C$4:$AB$15))/_xlfn.XLOOKUP($B35&amp;E$15,'Gas Useage'!$A$4:$A$15&amp;'Gas Useage'!$B$4:$B$15,_xlfn.XLOOKUP(E$14,'Gas Useage'!$AA$3:$AB$3,'Gas Useage'!$AA$4:$AB$15))</f>
        <v>4.8350006175073829E-5</v>
      </c>
      <c r="F35" s="259" cm="1">
        <f t="array" aca="1" ref="F35" ca="1">_xlfn.XLOOKUP(F$13,INDIRECT("'"&amp;$B35&amp;" EI'!$B$6:$B$53"),_xlfn.XLOOKUP($C$10,INDIRECT("'"&amp;$B35&amp;" EI'!$D$4:$Z$4"),INDIRECT("'"&amp;$B35&amp;" EI'!$D$6:$Z$53")))*_xlfn.XLOOKUP($B35&amp;F$15,'Gas Useage'!$A$4:$A$15&amp;'Gas Useage'!$B$4:$B$15,_xlfn.XLOOKUP($C35&amp;F$14,'Gas Useage'!$C$2:$AB$2&amp;'Gas Useage'!$C$3:$AB$3,'Gas Useage'!$C$4:$AB$15))/_xlfn.XLOOKUP($B35&amp;F$15,'Gas Useage'!$A$4:$A$15&amp;'Gas Useage'!$B$4:$B$15,_xlfn.XLOOKUP(F$14,'Gas Useage'!$AA$3:$AB$3,'Gas Useage'!$AA$4:$AB$15))</f>
        <v>6.2044402389917772E-4</v>
      </c>
      <c r="G35" s="259" cm="1">
        <f t="array" aca="1" ref="G35" ca="1">_xlfn.XLOOKUP(G$13,INDIRECT("'"&amp;$B35&amp;" EI'!$B$6:$B$53"),_xlfn.XLOOKUP($C$10,INDIRECT("'"&amp;$B35&amp;" EI'!$D$4:$Z$4"),INDIRECT("'"&amp;$B35&amp;" EI'!$D$6:$Z$53")))*_xlfn.XLOOKUP($B35&amp;G$15,'Gas Useage'!$A$4:$A$15&amp;'Gas Useage'!$B$4:$B$15,_xlfn.XLOOKUP($C35&amp;G$14,'Gas Useage'!$C$2:$AB$2&amp;'Gas Useage'!$C$3:$AB$3,'Gas Useage'!$C$4:$AB$15))/_xlfn.XLOOKUP($B35&amp;G$15,'Gas Useage'!$A$4:$A$15&amp;'Gas Useage'!$B$4:$B$15,_xlfn.XLOOKUP(G$14,'Gas Useage'!$AA$3:$AB$3,'Gas Useage'!$AA$4:$AB$15))</f>
        <v>4.1236104636326604E-5</v>
      </c>
      <c r="H35" s="260" t="s">
        <v>278</v>
      </c>
      <c r="I35" s="260" t="s">
        <v>278</v>
      </c>
      <c r="J35" s="260" t="s">
        <v>278</v>
      </c>
      <c r="K35" s="261" t="s">
        <v>278</v>
      </c>
      <c r="N35" s="258"/>
    </row>
    <row r="36" spans="2:14" ht="13.5" x14ac:dyDescent="0.25">
      <c r="B36" s="32">
        <v>2021</v>
      </c>
      <c r="C36" s="494" t="s">
        <v>286</v>
      </c>
      <c r="D36" s="259" cm="1">
        <f t="array" aca="1" ref="D36" ca="1">_xlfn.XLOOKUP(D$13,INDIRECT("'"&amp;$B36&amp;" EI'!$B$6:$B$53"),_xlfn.XLOOKUP($C$10,INDIRECT("'"&amp;$B36&amp;" EI'!$D$4:$Z$4"),INDIRECT("'"&amp;$B36&amp;" EI'!$D$6:$Z$53")))*_xlfn.XLOOKUP($B36&amp;D$15,'Gas Useage'!$A$4:$A$15&amp;'Gas Useage'!$B$4:$B$15,_xlfn.XLOOKUP($C36&amp;D$14,'Gas Useage'!$C$2:$AB$2&amp;'Gas Useage'!$C$3:$AB$3,'Gas Useage'!$C$4:$AB$15))/_xlfn.XLOOKUP($B36&amp;D$15,'Gas Useage'!$A$4:$A$15&amp;'Gas Useage'!$B$4:$B$15,_xlfn.XLOOKUP(D$14,'Gas Useage'!$AA$3:$AB$3,'Gas Useage'!$AA$4:$AB$15))</f>
        <v>4.3527580121536234E-4</v>
      </c>
      <c r="E36" s="259" cm="1">
        <f t="array" aca="1" ref="E36" ca="1">_xlfn.XLOOKUP(E$13,INDIRECT("'"&amp;$B36&amp;" EI'!$B$6:$B$53"),_xlfn.XLOOKUP($C$10,INDIRECT("'"&amp;$B36&amp;" EI'!$D$4:$Z$4"),INDIRECT("'"&amp;$B36&amp;" EI'!$D$6:$Z$53")))*_xlfn.XLOOKUP($B36&amp;E$15,'Gas Useage'!$A$4:$A$15&amp;'Gas Useage'!$B$4:$B$15,_xlfn.XLOOKUP($C36&amp;E$14,'Gas Useage'!$C$2:$AB$2&amp;'Gas Useage'!$C$3:$AB$3,'Gas Useage'!$C$4:$AB$15))/_xlfn.XLOOKUP($B36&amp;E$15,'Gas Useage'!$A$4:$A$15&amp;'Gas Useage'!$B$4:$B$15,_xlfn.XLOOKUP(E$14,'Gas Useage'!$AA$3:$AB$3,'Gas Useage'!$AA$4:$AB$15))</f>
        <v>2.5905598953511924E-5</v>
      </c>
      <c r="F36" s="259" cm="1">
        <f t="array" aca="1" ref="F36" ca="1">_xlfn.XLOOKUP(F$13,INDIRECT("'"&amp;$B36&amp;" EI'!$B$6:$B$53"),_xlfn.XLOOKUP($C$10,INDIRECT("'"&amp;$B36&amp;" EI'!$D$4:$Z$4"),INDIRECT("'"&amp;$B36&amp;" EI'!$D$6:$Z$53")))*_xlfn.XLOOKUP($B36&amp;F$15,'Gas Useage'!$A$4:$A$15&amp;'Gas Useage'!$B$4:$B$15,_xlfn.XLOOKUP($C36&amp;F$14,'Gas Useage'!$C$2:$AB$2&amp;'Gas Useage'!$C$3:$AB$3,'Gas Useage'!$C$4:$AB$15))/_xlfn.XLOOKUP($B36&amp;F$15,'Gas Useage'!$A$4:$A$15&amp;'Gas Useage'!$B$4:$B$15,_xlfn.XLOOKUP(F$14,'Gas Useage'!$AA$3:$AB$3,'Gas Useage'!$AA$4:$AB$15))</f>
        <v>3.4668188020169365E-4</v>
      </c>
      <c r="G36" s="259" cm="1">
        <f t="array" aca="1" ref="G36" ca="1">_xlfn.XLOOKUP(G$13,INDIRECT("'"&amp;$B36&amp;" EI'!$B$6:$B$53"),_xlfn.XLOOKUP($C$10,INDIRECT("'"&amp;$B36&amp;" EI'!$D$4:$Z$4"),INDIRECT("'"&amp;$B36&amp;" EI'!$D$6:$Z$53")))*_xlfn.XLOOKUP($B36&amp;G$15,'Gas Useage'!$A$4:$A$15&amp;'Gas Useage'!$B$4:$B$15,_xlfn.XLOOKUP($C36&amp;G$14,'Gas Useage'!$C$2:$AB$2&amp;'Gas Useage'!$C$3:$AB$3,'Gas Useage'!$C$4:$AB$15))/_xlfn.XLOOKUP($B36&amp;G$15,'Gas Useage'!$A$4:$A$15&amp;'Gas Useage'!$B$4:$B$15,_xlfn.XLOOKUP(G$14,'Gas Useage'!$AA$3:$AB$3,'Gas Useage'!$AA$4:$AB$15))</f>
        <v>2.063289925118302E-5</v>
      </c>
      <c r="H36" s="260" t="s">
        <v>278</v>
      </c>
      <c r="I36" s="260" t="s">
        <v>278</v>
      </c>
      <c r="J36" s="260" t="s">
        <v>278</v>
      </c>
      <c r="K36" s="261" t="s">
        <v>278</v>
      </c>
      <c r="N36" s="258"/>
    </row>
    <row r="37" spans="2:14" ht="13.5" x14ac:dyDescent="0.25">
      <c r="B37" s="32">
        <v>2021</v>
      </c>
      <c r="C37" s="494" t="s">
        <v>287</v>
      </c>
      <c r="D37" s="259" cm="1">
        <f t="array" aca="1" ref="D37" ca="1">_xlfn.XLOOKUP(D$13,INDIRECT("'"&amp;$B37&amp;" EI'!$B$6:$B$53"),_xlfn.XLOOKUP($C$10,INDIRECT("'"&amp;$B37&amp;" EI'!$D$4:$Z$4"),INDIRECT("'"&amp;$B37&amp;" EI'!$D$6:$Z$53")))*_xlfn.XLOOKUP($B37&amp;D$15,'Gas Useage'!$A$4:$A$15&amp;'Gas Useage'!$B$4:$B$15,_xlfn.XLOOKUP($C37&amp;D$14,'Gas Useage'!$C$2:$AB$2&amp;'Gas Useage'!$C$3:$AB$3,'Gas Useage'!$C$4:$AB$15))/_xlfn.XLOOKUP($B37&amp;D$15,'Gas Useage'!$A$4:$A$15&amp;'Gas Useage'!$B$4:$B$15,_xlfn.XLOOKUP(D$14,'Gas Useage'!$AA$3:$AB$3,'Gas Useage'!$AA$4:$AB$15))</f>
        <v>4.6509732925064279E-4</v>
      </c>
      <c r="E37" s="259" cm="1">
        <f t="array" aca="1" ref="E37" ca="1">_xlfn.XLOOKUP(E$13,INDIRECT("'"&amp;$B37&amp;" EI'!$B$6:$B$53"),_xlfn.XLOOKUP($C$10,INDIRECT("'"&amp;$B37&amp;" EI'!$D$4:$Z$4"),INDIRECT("'"&amp;$B37&amp;" EI'!$D$6:$Z$53")))*_xlfn.XLOOKUP($B37&amp;E$15,'Gas Useage'!$A$4:$A$15&amp;'Gas Useage'!$B$4:$B$15,_xlfn.XLOOKUP($C37&amp;E$14,'Gas Useage'!$C$2:$AB$2&amp;'Gas Useage'!$C$3:$AB$3,'Gas Useage'!$C$4:$AB$15))/_xlfn.XLOOKUP($B37&amp;E$15,'Gas Useage'!$A$4:$A$15&amp;'Gas Useage'!$B$4:$B$15,_xlfn.XLOOKUP(E$14,'Gas Useage'!$AA$3:$AB$3,'Gas Useage'!$AA$4:$AB$15))</f>
        <v>2.4698392126270605E-5</v>
      </c>
      <c r="F37" s="259" cm="1">
        <f t="array" aca="1" ref="F37" ca="1">_xlfn.XLOOKUP(F$13,INDIRECT("'"&amp;$B37&amp;" EI'!$B$6:$B$53"),_xlfn.XLOOKUP($C$10,INDIRECT("'"&amp;$B37&amp;" EI'!$D$4:$Z$4"),INDIRECT("'"&amp;$B37&amp;" EI'!$D$6:$Z$53")))*_xlfn.XLOOKUP($B37&amp;F$15,'Gas Useage'!$A$4:$A$15&amp;'Gas Useage'!$B$4:$B$15,_xlfn.XLOOKUP($C37&amp;F$14,'Gas Useage'!$C$2:$AB$2&amp;'Gas Useage'!$C$3:$AB$3,'Gas Useage'!$C$4:$AB$15))/_xlfn.XLOOKUP($B37&amp;F$15,'Gas Useage'!$A$4:$A$15&amp;'Gas Useage'!$B$4:$B$15,_xlfn.XLOOKUP(F$14,'Gas Useage'!$AA$3:$AB$3,'Gas Useage'!$AA$4:$AB$15))</f>
        <v>3.7875881951129702E-4</v>
      </c>
      <c r="G37" s="259" cm="1">
        <f t="array" aca="1" ref="G37" ca="1">_xlfn.XLOOKUP(G$13,INDIRECT("'"&amp;$B37&amp;" EI'!$B$6:$B$53"),_xlfn.XLOOKUP($C$10,INDIRECT("'"&amp;$B37&amp;" EI'!$D$4:$Z$4"),INDIRECT("'"&amp;$B37&amp;" EI'!$D$6:$Z$53")))*_xlfn.XLOOKUP($B37&amp;G$15,'Gas Useage'!$A$4:$A$15&amp;'Gas Useage'!$B$4:$B$15,_xlfn.XLOOKUP($C37&amp;G$14,'Gas Useage'!$C$2:$AB$2&amp;'Gas Useage'!$C$3:$AB$3,'Gas Useage'!$C$4:$AB$15))/_xlfn.XLOOKUP($B37&amp;G$15,'Gas Useage'!$A$4:$A$15&amp;'Gas Useage'!$B$4:$B$15,_xlfn.XLOOKUP(G$14,'Gas Useage'!$AA$3:$AB$3,'Gas Useage'!$AA$4:$AB$15))</f>
        <v>2.0113497234322027E-5</v>
      </c>
      <c r="H37" s="260" t="s">
        <v>278</v>
      </c>
      <c r="I37" s="260" t="s">
        <v>278</v>
      </c>
      <c r="J37" s="260" t="s">
        <v>278</v>
      </c>
      <c r="K37" s="261" t="s">
        <v>278</v>
      </c>
      <c r="N37" s="258"/>
    </row>
    <row r="38" spans="2:14" ht="13.5" x14ac:dyDescent="0.25">
      <c r="B38" s="32">
        <v>2021</v>
      </c>
      <c r="C38" s="494" t="s">
        <v>288</v>
      </c>
      <c r="D38" s="259" cm="1">
        <f t="array" aca="1" ref="D38" ca="1">_xlfn.XLOOKUP(D$13,INDIRECT("'"&amp;$B38&amp;" EI'!$B$6:$B$53"),_xlfn.XLOOKUP($C$10,INDIRECT("'"&amp;$B38&amp;" EI'!$D$4:$Z$4"),INDIRECT("'"&amp;$B38&amp;" EI'!$D$6:$Z$53")))*_xlfn.XLOOKUP($B38&amp;D$15,'Gas Useage'!$A$4:$A$15&amp;'Gas Useage'!$B$4:$B$15,_xlfn.XLOOKUP($C38&amp;D$14,'Gas Useage'!$C$2:$AB$2&amp;'Gas Useage'!$C$3:$AB$3,'Gas Useage'!$C$4:$AB$15))/_xlfn.XLOOKUP($B38&amp;D$15,'Gas Useage'!$A$4:$A$15&amp;'Gas Useage'!$B$4:$B$15,_xlfn.XLOOKUP(D$14,'Gas Useage'!$AA$3:$AB$3,'Gas Useage'!$AA$4:$AB$15))</f>
        <v>1.4654706584370856E-3</v>
      </c>
      <c r="E38" s="259" cm="1">
        <f t="array" aca="1" ref="E38" ca="1">_xlfn.XLOOKUP(E$13,INDIRECT("'"&amp;$B38&amp;" EI'!$B$6:$B$53"),_xlfn.XLOOKUP($C$10,INDIRECT("'"&amp;$B38&amp;" EI'!$D$4:$Z$4"),INDIRECT("'"&amp;$B38&amp;" EI'!$D$6:$Z$53")))*_xlfn.XLOOKUP($B38&amp;E$15,'Gas Useage'!$A$4:$A$15&amp;'Gas Useage'!$B$4:$B$15,_xlfn.XLOOKUP($C38&amp;E$14,'Gas Useage'!$C$2:$AB$2&amp;'Gas Useage'!$C$3:$AB$3,'Gas Useage'!$C$4:$AB$15))/_xlfn.XLOOKUP($B38&amp;E$15,'Gas Useage'!$A$4:$A$15&amp;'Gas Useage'!$B$4:$B$15,_xlfn.XLOOKUP(E$14,'Gas Useage'!$AA$3:$AB$3,'Gas Useage'!$AA$4:$AB$15))</f>
        <v>1.1694193171332081E-4</v>
      </c>
      <c r="F38" s="259" cm="1">
        <f t="array" aca="1" ref="F38" ca="1">_xlfn.XLOOKUP(F$13,INDIRECT("'"&amp;$B38&amp;" EI'!$B$6:$B$53"),_xlfn.XLOOKUP($C$10,INDIRECT("'"&amp;$B38&amp;" EI'!$D$4:$Z$4"),INDIRECT("'"&amp;$B38&amp;" EI'!$D$6:$Z$53")))*_xlfn.XLOOKUP($B38&amp;F$15,'Gas Useage'!$A$4:$A$15&amp;'Gas Useage'!$B$4:$B$15,_xlfn.XLOOKUP($C38&amp;F$14,'Gas Useage'!$C$2:$AB$2&amp;'Gas Useage'!$C$3:$AB$3,'Gas Useage'!$C$4:$AB$15))/_xlfn.XLOOKUP($B38&amp;F$15,'Gas Useage'!$A$4:$A$15&amp;'Gas Useage'!$B$4:$B$15,_xlfn.XLOOKUP(F$14,'Gas Useage'!$AA$3:$AB$3,'Gas Useage'!$AA$4:$AB$15))</f>
        <v>1.3354177067936867E-3</v>
      </c>
      <c r="G38" s="259" cm="1">
        <f t="array" aca="1" ref="G38" ca="1">_xlfn.XLOOKUP(G$13,INDIRECT("'"&amp;$B38&amp;" EI'!$B$6:$B$53"),_xlfn.XLOOKUP($C$10,INDIRECT("'"&amp;$B38&amp;" EI'!$D$4:$Z$4"),INDIRECT("'"&amp;$B38&amp;" EI'!$D$6:$Z$53")))*_xlfn.XLOOKUP($B38&amp;G$15,'Gas Useage'!$A$4:$A$15&amp;'Gas Useage'!$B$4:$B$15,_xlfn.XLOOKUP($C38&amp;G$14,'Gas Useage'!$C$2:$AB$2&amp;'Gas Useage'!$C$3:$AB$3,'Gas Useage'!$C$4:$AB$15))/_xlfn.XLOOKUP($B38&amp;G$15,'Gas Useage'!$A$4:$A$15&amp;'Gas Useage'!$B$4:$B$15,_xlfn.XLOOKUP(G$14,'Gas Useage'!$AA$3:$AB$3,'Gas Useage'!$AA$4:$AB$15))</f>
        <v>1.0656393928976857E-4</v>
      </c>
      <c r="H38" s="260" t="s">
        <v>278</v>
      </c>
      <c r="I38" s="260" t="s">
        <v>278</v>
      </c>
      <c r="J38" s="260" t="s">
        <v>278</v>
      </c>
      <c r="K38" s="261" t="s">
        <v>278</v>
      </c>
      <c r="N38" s="258"/>
    </row>
    <row r="39" spans="2:14" ht="13.5" x14ac:dyDescent="0.25">
      <c r="B39" s="32">
        <v>2021</v>
      </c>
      <c r="C39" s="494" t="s">
        <v>289</v>
      </c>
      <c r="D39" s="259" cm="1">
        <f t="array" aca="1" ref="D39" ca="1">_xlfn.XLOOKUP(D$13,INDIRECT("'"&amp;$B39&amp;" EI'!$B$6:$B$53"),_xlfn.XLOOKUP($C$10,INDIRECT("'"&amp;$B39&amp;" EI'!$D$4:$Z$4"),INDIRECT("'"&amp;$B39&amp;" EI'!$D$6:$Z$53")))*_xlfn.XLOOKUP($B39&amp;D$15,'Gas Useage'!$A$4:$A$15&amp;'Gas Useage'!$B$4:$B$15,_xlfn.XLOOKUP($C39&amp;D$14,'Gas Useage'!$C$2:$AB$2&amp;'Gas Useage'!$C$3:$AB$3,'Gas Useage'!$C$4:$AB$15))/_xlfn.XLOOKUP($B39&amp;D$15,'Gas Useage'!$A$4:$A$15&amp;'Gas Useage'!$B$4:$B$15,_xlfn.XLOOKUP(D$14,'Gas Useage'!$AA$3:$AB$3,'Gas Useage'!$AA$4:$AB$15))</f>
        <v>8.7910516585609875E-4</v>
      </c>
      <c r="E39" s="259" cm="1">
        <f t="array" aca="1" ref="E39" ca="1">_xlfn.XLOOKUP(E$13,INDIRECT("'"&amp;$B39&amp;" EI'!$B$6:$B$53"),_xlfn.XLOOKUP($C$10,INDIRECT("'"&amp;$B39&amp;" EI'!$D$4:$Z$4"),INDIRECT("'"&amp;$B39&amp;" EI'!$D$6:$Z$53")))*_xlfn.XLOOKUP($B39&amp;E$15,'Gas Useage'!$A$4:$A$15&amp;'Gas Useage'!$B$4:$B$15,_xlfn.XLOOKUP($C39&amp;E$14,'Gas Useage'!$C$2:$AB$2&amp;'Gas Useage'!$C$3:$AB$3,'Gas Useage'!$C$4:$AB$15))/_xlfn.XLOOKUP($B39&amp;E$15,'Gas Useage'!$A$4:$A$15&amp;'Gas Useage'!$B$4:$B$15,_xlfn.XLOOKUP(E$14,'Gas Useage'!$AA$3:$AB$3,'Gas Useage'!$AA$4:$AB$15))</f>
        <v>6.7114911249269179E-5</v>
      </c>
      <c r="F39" s="259" cm="1">
        <f t="array" aca="1" ref="F39" ca="1">_xlfn.XLOOKUP(F$13,INDIRECT("'"&amp;$B39&amp;" EI'!$B$6:$B$53"),_xlfn.XLOOKUP($C$10,INDIRECT("'"&amp;$B39&amp;" EI'!$D$4:$Z$4"),INDIRECT("'"&amp;$B39&amp;" EI'!$D$6:$Z$53")))*_xlfn.XLOOKUP($B39&amp;F$15,'Gas Useage'!$A$4:$A$15&amp;'Gas Useage'!$B$4:$B$15,_xlfn.XLOOKUP($C39&amp;F$14,'Gas Useage'!$C$2:$AB$2&amp;'Gas Useage'!$C$3:$AB$3,'Gas Useage'!$C$4:$AB$15))/_xlfn.XLOOKUP($B39&amp;F$15,'Gas Useage'!$A$4:$A$15&amp;'Gas Useage'!$B$4:$B$15,_xlfn.XLOOKUP(F$14,'Gas Useage'!$AA$3:$AB$3,'Gas Useage'!$AA$4:$AB$15))</f>
        <v>8.5387976654889379E-4</v>
      </c>
      <c r="G39" s="259" cm="1">
        <f t="array" aca="1" ref="G39" ca="1">_xlfn.XLOOKUP(G$13,INDIRECT("'"&amp;$B39&amp;" EI'!$B$6:$B$53"),_xlfn.XLOOKUP($C$10,INDIRECT("'"&amp;$B39&amp;" EI'!$D$4:$Z$4"),INDIRECT("'"&amp;$B39&amp;" EI'!$D$6:$Z$53")))*_xlfn.XLOOKUP($B39&amp;G$15,'Gas Useage'!$A$4:$A$15&amp;'Gas Useage'!$B$4:$B$15,_xlfn.XLOOKUP($C39&amp;G$14,'Gas Useage'!$C$2:$AB$2&amp;'Gas Useage'!$C$3:$AB$3,'Gas Useage'!$C$4:$AB$15))/_xlfn.XLOOKUP($B39&amp;G$15,'Gas Useage'!$A$4:$A$15&amp;'Gas Useage'!$B$4:$B$15,_xlfn.XLOOKUP(G$14,'Gas Useage'!$AA$3:$AB$3,'Gas Useage'!$AA$4:$AB$15))</f>
        <v>6.5189088831786547E-5</v>
      </c>
      <c r="H39" s="260" t="s">
        <v>278</v>
      </c>
      <c r="I39" s="260" t="s">
        <v>278</v>
      </c>
      <c r="J39" s="260" t="s">
        <v>278</v>
      </c>
      <c r="K39" s="261" t="s">
        <v>278</v>
      </c>
      <c r="N39" s="258"/>
    </row>
    <row r="40" spans="2:14" ht="13.5" x14ac:dyDescent="0.25">
      <c r="B40" s="32">
        <v>2022</v>
      </c>
      <c r="C40" s="494" t="s">
        <v>277</v>
      </c>
      <c r="D40" s="259" cm="1">
        <f t="array" aca="1" ref="D40" ca="1">_xlfn.XLOOKUP(D$13,INDIRECT("'"&amp;$B40&amp;" EI'!$B$6:$B$53"),_xlfn.XLOOKUP($C$10,INDIRECT("'"&amp;$B40&amp;" EI'!$D$4:$Z$4"),INDIRECT("'"&amp;$B40&amp;" EI'!$D$6:$Z$53")))*_xlfn.XLOOKUP($B40&amp;D$15,'Gas Useage'!$A$4:$A$15&amp;'Gas Useage'!$B$4:$B$15,_xlfn.XLOOKUP($C40&amp;D$14,'Gas Useage'!$C$2:$AB$2&amp;'Gas Useage'!$C$3:$AB$3,'Gas Useage'!$C$4:$AB$15))/_xlfn.XLOOKUP($B40&amp;D$15,'Gas Useage'!$A$4:$A$15&amp;'Gas Useage'!$B$4:$B$15,_xlfn.XLOOKUP(D$14,'Gas Useage'!$AA$3:$AB$3,'Gas Useage'!$AA$4:$AB$15))</f>
        <v>9.3822819836469819E-4</v>
      </c>
      <c r="E40" s="259" cm="1">
        <f t="array" aca="1" ref="E40" ca="1">_xlfn.XLOOKUP(E$13,INDIRECT("'"&amp;$B40&amp;" EI'!$B$6:$B$53"),_xlfn.XLOOKUP($C$10,INDIRECT("'"&amp;$B40&amp;" EI'!$D$4:$Z$4"),INDIRECT("'"&amp;$B40&amp;" EI'!$D$6:$Z$53")))*_xlfn.XLOOKUP($B40&amp;E$15,'Gas Useage'!$A$4:$A$15&amp;'Gas Useage'!$B$4:$B$15,_xlfn.XLOOKUP($C40&amp;E$14,'Gas Useage'!$C$2:$AB$2&amp;'Gas Useage'!$C$3:$AB$3,'Gas Useage'!$C$4:$AB$15))/_xlfn.XLOOKUP($B40&amp;E$15,'Gas Useage'!$A$4:$A$15&amp;'Gas Useage'!$B$4:$B$15,_xlfn.XLOOKUP(E$14,'Gas Useage'!$AA$3:$AB$3,'Gas Useage'!$AA$4:$AB$15))</f>
        <v>9.5068088426914369E-5</v>
      </c>
      <c r="F40" s="259" cm="1">
        <f t="array" aca="1" ref="F40" ca="1">_xlfn.XLOOKUP(F$13,INDIRECT("'"&amp;$B40&amp;" EI'!$B$6:$B$53"),_xlfn.XLOOKUP($C$10,INDIRECT("'"&amp;$B40&amp;" EI'!$D$4:$Z$4"),INDIRECT("'"&amp;$B40&amp;" EI'!$D$6:$Z$53")))*_xlfn.XLOOKUP($B40&amp;F$15,'Gas Useage'!$A$4:$A$15&amp;'Gas Useage'!$B$4:$B$15,_xlfn.XLOOKUP($C40&amp;F$14,'Gas Useage'!$C$2:$AB$2&amp;'Gas Useage'!$C$3:$AB$3,'Gas Useage'!$C$4:$AB$15))/_xlfn.XLOOKUP($B40&amp;F$15,'Gas Useage'!$A$4:$A$15&amp;'Gas Useage'!$B$4:$B$15,_xlfn.XLOOKUP(F$14,'Gas Useage'!$AA$3:$AB$3,'Gas Useage'!$AA$4:$AB$15))</f>
        <v>8.3424967157262955E-4</v>
      </c>
      <c r="G40" s="259" cm="1">
        <f t="array" aca="1" ref="G40" ca="1">_xlfn.XLOOKUP(G$13,INDIRECT("'"&amp;$B40&amp;" EI'!$B$6:$B$53"),_xlfn.XLOOKUP($C$10,INDIRECT("'"&amp;$B40&amp;" EI'!$D$4:$Z$4"),INDIRECT("'"&amp;$B40&amp;" EI'!$D$6:$Z$53")))*_xlfn.XLOOKUP($B40&amp;G$15,'Gas Useage'!$A$4:$A$15&amp;'Gas Useage'!$B$4:$B$15,_xlfn.XLOOKUP($C40&amp;G$14,'Gas Useage'!$C$2:$AB$2&amp;'Gas Useage'!$C$3:$AB$3,'Gas Useage'!$C$4:$AB$15))/_xlfn.XLOOKUP($B40&amp;G$15,'Gas Useage'!$A$4:$A$15&amp;'Gas Useage'!$B$4:$B$15,_xlfn.XLOOKUP(G$14,'Gas Useage'!$AA$3:$AB$3,'Gas Useage'!$AA$4:$AB$15))</f>
        <v>8.4532229670166277E-5</v>
      </c>
      <c r="H40" s="260" t="s">
        <v>278</v>
      </c>
      <c r="I40" s="260" t="s">
        <v>278</v>
      </c>
      <c r="J40" s="260" t="s">
        <v>278</v>
      </c>
      <c r="K40" s="261" t="s">
        <v>278</v>
      </c>
      <c r="N40" s="258"/>
    </row>
    <row r="41" spans="2:14" ht="13.5" x14ac:dyDescent="0.25">
      <c r="B41" s="32">
        <v>2022</v>
      </c>
      <c r="C41" s="494" t="s">
        <v>279</v>
      </c>
      <c r="D41" s="259" cm="1">
        <f t="array" aca="1" ref="D41" ca="1">_xlfn.XLOOKUP(D$13,INDIRECT("'"&amp;$B41&amp;" EI'!$B$6:$B$53"),_xlfn.XLOOKUP($C$10,INDIRECT("'"&amp;$B41&amp;" EI'!$D$4:$Z$4"),INDIRECT("'"&amp;$B41&amp;" EI'!$D$6:$Z$53")))*_xlfn.XLOOKUP($B41&amp;D$15,'Gas Useage'!$A$4:$A$15&amp;'Gas Useage'!$B$4:$B$15,_xlfn.XLOOKUP($C41&amp;D$14,'Gas Useage'!$C$2:$AB$2&amp;'Gas Useage'!$C$3:$AB$3,'Gas Useage'!$C$4:$AB$15))/_xlfn.XLOOKUP($B41&amp;D$15,'Gas Useage'!$A$4:$A$15&amp;'Gas Useage'!$B$4:$B$15,_xlfn.XLOOKUP(D$14,'Gas Useage'!$AA$3:$AB$3,'Gas Useage'!$AA$4:$AB$15))</f>
        <v>8.9436157856653202E-4</v>
      </c>
      <c r="E41" s="259" cm="1">
        <f t="array" aca="1" ref="E41" ca="1">_xlfn.XLOOKUP(E$13,INDIRECT("'"&amp;$B41&amp;" EI'!$B$6:$B$53"),_xlfn.XLOOKUP($C$10,INDIRECT("'"&amp;$B41&amp;" EI'!$D$4:$Z$4"),INDIRECT("'"&amp;$B41&amp;" EI'!$D$6:$Z$53")))*_xlfn.XLOOKUP($B41&amp;E$15,'Gas Useage'!$A$4:$A$15&amp;'Gas Useage'!$B$4:$B$15,_xlfn.XLOOKUP($C41&amp;E$14,'Gas Useage'!$C$2:$AB$2&amp;'Gas Useage'!$C$3:$AB$3,'Gas Useage'!$C$4:$AB$15))/_xlfn.XLOOKUP($B41&amp;E$15,'Gas Useage'!$A$4:$A$15&amp;'Gas Useage'!$B$4:$B$15,_xlfn.XLOOKUP(E$14,'Gas Useage'!$AA$3:$AB$3,'Gas Useage'!$AA$4:$AB$15))</f>
        <v>8.1081696233284206E-5</v>
      </c>
      <c r="F41" s="259" cm="1">
        <f t="array" aca="1" ref="F41" ca="1">_xlfn.XLOOKUP(F$13,INDIRECT("'"&amp;$B41&amp;" EI'!$B$6:$B$53"),_xlfn.XLOOKUP($C$10,INDIRECT("'"&amp;$B41&amp;" EI'!$D$4:$Z$4"),INDIRECT("'"&amp;$B41&amp;" EI'!$D$6:$Z$53")))*_xlfn.XLOOKUP($B41&amp;F$15,'Gas Useage'!$A$4:$A$15&amp;'Gas Useage'!$B$4:$B$15,_xlfn.XLOOKUP($C41&amp;F$14,'Gas Useage'!$C$2:$AB$2&amp;'Gas Useage'!$C$3:$AB$3,'Gas Useage'!$C$4:$AB$15))/_xlfn.XLOOKUP($B41&amp;F$15,'Gas Useage'!$A$4:$A$15&amp;'Gas Useage'!$B$4:$B$15,_xlfn.XLOOKUP(F$14,'Gas Useage'!$AA$3:$AB$3,'Gas Useage'!$AA$4:$AB$15))</f>
        <v>5.9977165364104518E-4</v>
      </c>
      <c r="G41" s="259" cm="1">
        <f t="array" aca="1" ref="G41" ca="1">_xlfn.XLOOKUP(G$13,INDIRECT("'"&amp;$B41&amp;" EI'!$B$6:$B$53"),_xlfn.XLOOKUP($C$10,INDIRECT("'"&amp;$B41&amp;" EI'!$D$4:$Z$4"),INDIRECT("'"&amp;$B41&amp;" EI'!$D$6:$Z$53")))*_xlfn.XLOOKUP($B41&amp;G$15,'Gas Useage'!$A$4:$A$15&amp;'Gas Useage'!$B$4:$B$15,_xlfn.XLOOKUP($C41&amp;G$14,'Gas Useage'!$C$2:$AB$2&amp;'Gas Useage'!$C$3:$AB$3,'Gas Useage'!$C$4:$AB$15))/_xlfn.XLOOKUP($B41&amp;G$15,'Gas Useage'!$A$4:$A$15&amp;'Gas Useage'!$B$4:$B$15,_xlfn.XLOOKUP(G$14,'Gas Useage'!$AA$3:$AB$3,'Gas Useage'!$AA$4:$AB$15))</f>
        <v>5.4374544027038755E-5</v>
      </c>
      <c r="H41" s="260" t="s">
        <v>278</v>
      </c>
      <c r="I41" s="260" t="s">
        <v>278</v>
      </c>
      <c r="J41" s="260" t="s">
        <v>278</v>
      </c>
      <c r="K41" s="261" t="s">
        <v>278</v>
      </c>
      <c r="N41" s="258"/>
    </row>
    <row r="42" spans="2:14" ht="13.5" x14ac:dyDescent="0.25">
      <c r="B42" s="32">
        <v>2022</v>
      </c>
      <c r="C42" s="494" t="s">
        <v>280</v>
      </c>
      <c r="D42" s="259" cm="1">
        <f t="array" aca="1" ref="D42" ca="1">_xlfn.XLOOKUP(D$13,INDIRECT("'"&amp;$B42&amp;" EI'!$B$6:$B$53"),_xlfn.XLOOKUP($C$10,INDIRECT("'"&amp;$B42&amp;" EI'!$D$4:$Z$4"),INDIRECT("'"&amp;$B42&amp;" EI'!$D$6:$Z$53")))*_xlfn.XLOOKUP($B42&amp;D$15,'Gas Useage'!$A$4:$A$15&amp;'Gas Useage'!$B$4:$B$15,_xlfn.XLOOKUP($C42&amp;D$14,'Gas Useage'!$C$2:$AB$2&amp;'Gas Useage'!$C$3:$AB$3,'Gas Useage'!$C$4:$AB$15))/_xlfn.XLOOKUP($B42&amp;D$15,'Gas Useage'!$A$4:$A$15&amp;'Gas Useage'!$B$4:$B$15,_xlfn.XLOOKUP(D$14,'Gas Useage'!$AA$3:$AB$3,'Gas Useage'!$AA$4:$AB$15))</f>
        <v>1.0363691086702823E-3</v>
      </c>
      <c r="E42" s="259" cm="1">
        <f t="array" aca="1" ref="E42" ca="1">_xlfn.XLOOKUP(E$13,INDIRECT("'"&amp;$B42&amp;" EI'!$B$6:$B$53"),_xlfn.XLOOKUP($C$10,INDIRECT("'"&amp;$B42&amp;" EI'!$D$4:$Z$4"),INDIRECT("'"&amp;$B42&amp;" EI'!$D$6:$Z$53")))*_xlfn.XLOOKUP($B42&amp;E$15,'Gas Useage'!$A$4:$A$15&amp;'Gas Useage'!$B$4:$B$15,_xlfn.XLOOKUP($C42&amp;E$14,'Gas Useage'!$C$2:$AB$2&amp;'Gas Useage'!$C$3:$AB$3,'Gas Useage'!$C$4:$AB$15))/_xlfn.XLOOKUP($B42&amp;E$15,'Gas Useage'!$A$4:$A$15&amp;'Gas Useage'!$B$4:$B$15,_xlfn.XLOOKUP(E$14,'Gas Useage'!$AA$3:$AB$3,'Gas Useage'!$AA$4:$AB$15))</f>
        <v>8.4104787110442111E-5</v>
      </c>
      <c r="F42" s="259" cm="1">
        <f t="array" aca="1" ref="F42" ca="1">_xlfn.XLOOKUP(F$13,INDIRECT("'"&amp;$B42&amp;" EI'!$B$6:$B$53"),_xlfn.XLOOKUP($C$10,INDIRECT("'"&amp;$B42&amp;" EI'!$D$4:$Z$4"),INDIRECT("'"&amp;$B42&amp;" EI'!$D$6:$Z$53")))*_xlfn.XLOOKUP($B42&amp;F$15,'Gas Useage'!$A$4:$A$15&amp;'Gas Useage'!$B$4:$B$15,_xlfn.XLOOKUP($C42&amp;F$14,'Gas Useage'!$C$2:$AB$2&amp;'Gas Useage'!$C$3:$AB$3,'Gas Useage'!$C$4:$AB$15))/_xlfn.XLOOKUP($B42&amp;F$15,'Gas Useage'!$A$4:$A$15&amp;'Gas Useage'!$B$4:$B$15,_xlfn.XLOOKUP(F$14,'Gas Useage'!$AA$3:$AB$3,'Gas Useage'!$AA$4:$AB$15))</f>
        <v>4.9099873591955487E-4</v>
      </c>
      <c r="G42" s="259" cm="1">
        <f t="array" aca="1" ref="G42" ca="1">_xlfn.XLOOKUP(G$13,INDIRECT("'"&amp;$B42&amp;" EI'!$B$6:$B$53"),_xlfn.XLOOKUP($C$10,INDIRECT("'"&amp;$B42&amp;" EI'!$D$4:$Z$4"),INDIRECT("'"&amp;$B42&amp;" EI'!$D$6:$Z$53")))*_xlfn.XLOOKUP($B42&amp;G$15,'Gas Useage'!$A$4:$A$15&amp;'Gas Useage'!$B$4:$B$15,_xlfn.XLOOKUP($C42&amp;G$14,'Gas Useage'!$C$2:$AB$2&amp;'Gas Useage'!$C$3:$AB$3,'Gas Useage'!$C$4:$AB$15))/_xlfn.XLOOKUP($B42&amp;G$15,'Gas Useage'!$A$4:$A$15&amp;'Gas Useage'!$B$4:$B$15,_xlfn.XLOOKUP(G$14,'Gas Useage'!$AA$3:$AB$3,'Gas Useage'!$AA$4:$AB$15))</f>
        <v>3.9846174312349491E-5</v>
      </c>
      <c r="H42" s="260" t="s">
        <v>278</v>
      </c>
      <c r="I42" s="260" t="s">
        <v>278</v>
      </c>
      <c r="J42" s="260" t="s">
        <v>278</v>
      </c>
      <c r="K42" s="261" t="s">
        <v>278</v>
      </c>
      <c r="N42" s="258"/>
    </row>
    <row r="43" spans="2:14" ht="13.5" x14ac:dyDescent="0.25">
      <c r="B43" s="32">
        <v>2022</v>
      </c>
      <c r="C43" s="494" t="s">
        <v>281</v>
      </c>
      <c r="D43" s="259" cm="1">
        <f t="array" aca="1" ref="D43" ca="1">_xlfn.XLOOKUP(D$13,INDIRECT("'"&amp;$B43&amp;" EI'!$B$6:$B$53"),_xlfn.XLOOKUP($C$10,INDIRECT("'"&amp;$B43&amp;" EI'!$D$4:$Z$4"),INDIRECT("'"&amp;$B43&amp;" EI'!$D$6:$Z$53")))*_xlfn.XLOOKUP($B43&amp;D$15,'Gas Useage'!$A$4:$A$15&amp;'Gas Useage'!$B$4:$B$15,_xlfn.XLOOKUP($C43&amp;D$14,'Gas Useage'!$C$2:$AB$2&amp;'Gas Useage'!$C$3:$AB$3,'Gas Useage'!$C$4:$AB$15))/_xlfn.XLOOKUP($B43&amp;D$15,'Gas Useage'!$A$4:$A$15&amp;'Gas Useage'!$B$4:$B$15,_xlfn.XLOOKUP(D$14,'Gas Useage'!$AA$3:$AB$3,'Gas Useage'!$AA$4:$AB$15))</f>
        <v>1.0624536767365057E-3</v>
      </c>
      <c r="E43" s="259" cm="1">
        <f t="array" aca="1" ref="E43" ca="1">_xlfn.XLOOKUP(E$13,INDIRECT("'"&amp;$B43&amp;" EI'!$B$6:$B$53"),_xlfn.XLOOKUP($C$10,INDIRECT("'"&amp;$B43&amp;" EI'!$D$4:$Z$4"),INDIRECT("'"&amp;$B43&amp;" EI'!$D$6:$Z$53")))*_xlfn.XLOOKUP($B43&amp;E$15,'Gas Useage'!$A$4:$A$15&amp;'Gas Useage'!$B$4:$B$15,_xlfn.XLOOKUP($C43&amp;E$14,'Gas Useage'!$C$2:$AB$2&amp;'Gas Useage'!$C$3:$AB$3,'Gas Useage'!$C$4:$AB$15))/_xlfn.XLOOKUP($B43&amp;E$15,'Gas Useage'!$A$4:$A$15&amp;'Gas Useage'!$B$4:$B$15,_xlfn.XLOOKUP(E$14,'Gas Useage'!$AA$3:$AB$3,'Gas Useage'!$AA$4:$AB$15))</f>
        <v>9.5182012008884228E-5</v>
      </c>
      <c r="F43" s="259" cm="1">
        <f t="array" aca="1" ref="F43" ca="1">_xlfn.XLOOKUP(F$13,INDIRECT("'"&amp;$B43&amp;" EI'!$B$6:$B$53"),_xlfn.XLOOKUP($C$10,INDIRECT("'"&amp;$B43&amp;" EI'!$D$4:$Z$4"),INDIRECT("'"&amp;$B43&amp;" EI'!$D$6:$Z$53")))*_xlfn.XLOOKUP($B43&amp;F$15,'Gas Useage'!$A$4:$A$15&amp;'Gas Useage'!$B$4:$B$15,_xlfn.XLOOKUP($C43&amp;F$14,'Gas Useage'!$C$2:$AB$2&amp;'Gas Useage'!$C$3:$AB$3,'Gas Useage'!$C$4:$AB$15))/_xlfn.XLOOKUP($B43&amp;F$15,'Gas Useage'!$A$4:$A$15&amp;'Gas Useage'!$B$4:$B$15,_xlfn.XLOOKUP(F$14,'Gas Useage'!$AA$3:$AB$3,'Gas Useage'!$AA$4:$AB$15))</f>
        <v>8.5689509908278667E-4</v>
      </c>
      <c r="G43" s="259" cm="1">
        <f t="array" aca="1" ref="G43" ca="1">_xlfn.XLOOKUP(G$13,INDIRECT("'"&amp;$B43&amp;" EI'!$B$6:$B$53"),_xlfn.XLOOKUP($C$10,INDIRECT("'"&amp;$B43&amp;" EI'!$D$4:$Z$4"),INDIRECT("'"&amp;$B43&amp;" EI'!$D$6:$Z$53")))*_xlfn.XLOOKUP($B43&amp;G$15,'Gas Useage'!$A$4:$A$15&amp;'Gas Useage'!$B$4:$B$15,_xlfn.XLOOKUP($C43&amp;G$14,'Gas Useage'!$C$2:$AB$2&amp;'Gas Useage'!$C$3:$AB$3,'Gas Useage'!$C$4:$AB$15))/_xlfn.XLOOKUP($B43&amp;G$15,'Gas Useage'!$A$4:$A$15&amp;'Gas Useage'!$B$4:$B$15,_xlfn.XLOOKUP(G$14,'Gas Useage'!$AA$3:$AB$3,'Gas Useage'!$AA$4:$AB$15))</f>
        <v>7.6766640651834646E-5</v>
      </c>
      <c r="H43" s="260" t="s">
        <v>278</v>
      </c>
      <c r="I43" s="260" t="s">
        <v>278</v>
      </c>
      <c r="J43" s="260" t="s">
        <v>278</v>
      </c>
      <c r="K43" s="261" t="s">
        <v>278</v>
      </c>
      <c r="N43" s="258"/>
    </row>
    <row r="44" spans="2:14" ht="13.5" x14ac:dyDescent="0.25">
      <c r="B44" s="32">
        <v>2022</v>
      </c>
      <c r="C44" s="494" t="s">
        <v>282</v>
      </c>
      <c r="D44" s="259" cm="1">
        <f t="array" aca="1" ref="D44" ca="1">_xlfn.XLOOKUP(D$13,INDIRECT("'"&amp;$B44&amp;" EI'!$B$6:$B$53"),_xlfn.XLOOKUP($C$10,INDIRECT("'"&amp;$B44&amp;" EI'!$D$4:$Z$4"),INDIRECT("'"&amp;$B44&amp;" EI'!$D$6:$Z$53")))*_xlfn.XLOOKUP($B44&amp;D$15,'Gas Useage'!$A$4:$A$15&amp;'Gas Useage'!$B$4:$B$15,_xlfn.XLOOKUP($C44&amp;D$14,'Gas Useage'!$C$2:$AB$2&amp;'Gas Useage'!$C$3:$AB$3,'Gas Useage'!$C$4:$AB$15))/_xlfn.XLOOKUP($B44&amp;D$15,'Gas Useage'!$A$4:$A$15&amp;'Gas Useage'!$B$4:$B$15,_xlfn.XLOOKUP(D$14,'Gas Useage'!$AA$3:$AB$3,'Gas Useage'!$AA$4:$AB$15))</f>
        <v>7.3059303246182455E-4</v>
      </c>
      <c r="E44" s="259" cm="1">
        <f t="array" aca="1" ref="E44" ca="1">_xlfn.XLOOKUP(E$13,INDIRECT("'"&amp;$B44&amp;" EI'!$B$6:$B$53"),_xlfn.XLOOKUP($C$10,INDIRECT("'"&amp;$B44&amp;" EI'!$D$4:$Z$4"),INDIRECT("'"&amp;$B44&amp;" EI'!$D$6:$Z$53")))*_xlfn.XLOOKUP($B44&amp;E$15,'Gas Useage'!$A$4:$A$15&amp;'Gas Useage'!$B$4:$B$15,_xlfn.XLOOKUP($C44&amp;E$14,'Gas Useage'!$C$2:$AB$2&amp;'Gas Useage'!$C$3:$AB$3,'Gas Useage'!$C$4:$AB$15))/_xlfn.XLOOKUP($B44&amp;E$15,'Gas Useage'!$A$4:$A$15&amp;'Gas Useage'!$B$4:$B$15,_xlfn.XLOOKUP(E$14,'Gas Useage'!$AA$3:$AB$3,'Gas Useage'!$AA$4:$AB$15))</f>
        <v>6.8205582452160398E-5</v>
      </c>
      <c r="F44" s="259" cm="1">
        <f t="array" aca="1" ref="F44" ca="1">_xlfn.XLOOKUP(F$13,INDIRECT("'"&amp;$B44&amp;" EI'!$B$6:$B$53"),_xlfn.XLOOKUP($C$10,INDIRECT("'"&amp;$B44&amp;" EI'!$D$4:$Z$4"),INDIRECT("'"&amp;$B44&amp;" EI'!$D$6:$Z$53")))*_xlfn.XLOOKUP($B44&amp;F$15,'Gas Useage'!$A$4:$A$15&amp;'Gas Useage'!$B$4:$B$15,_xlfn.XLOOKUP($C44&amp;F$14,'Gas Useage'!$C$2:$AB$2&amp;'Gas Useage'!$C$3:$AB$3,'Gas Useage'!$C$4:$AB$15))/_xlfn.XLOOKUP($B44&amp;F$15,'Gas Useage'!$A$4:$A$15&amp;'Gas Useage'!$B$4:$B$15,_xlfn.XLOOKUP(F$14,'Gas Useage'!$AA$3:$AB$3,'Gas Useage'!$AA$4:$AB$15))</f>
        <v>4.2349435303162022E-4</v>
      </c>
      <c r="G44" s="259" cm="1">
        <f t="array" aca="1" ref="G44" ca="1">_xlfn.XLOOKUP(G$13,INDIRECT("'"&amp;$B44&amp;" EI'!$B$6:$B$53"),_xlfn.XLOOKUP($C$10,INDIRECT("'"&amp;$B44&amp;" EI'!$D$4:$Z$4"),INDIRECT("'"&amp;$B44&amp;" EI'!$D$6:$Z$53")))*_xlfn.XLOOKUP($B44&amp;G$15,'Gas Useage'!$A$4:$A$15&amp;'Gas Useage'!$B$4:$B$15,_xlfn.XLOOKUP($C44&amp;G$14,'Gas Useage'!$C$2:$AB$2&amp;'Gas Useage'!$C$3:$AB$3,'Gas Useage'!$C$4:$AB$15))/_xlfn.XLOOKUP($B44&amp;G$15,'Gas Useage'!$A$4:$A$15&amp;'Gas Useage'!$B$4:$B$15,_xlfn.XLOOKUP(G$14,'Gas Useage'!$AA$3:$AB$3,'Gas Useage'!$AA$4:$AB$15))</f>
        <v>3.9535935507613514E-5</v>
      </c>
      <c r="H44" s="260" t="s">
        <v>278</v>
      </c>
      <c r="I44" s="260" t="s">
        <v>278</v>
      </c>
      <c r="J44" s="260" t="s">
        <v>278</v>
      </c>
      <c r="K44" s="261" t="s">
        <v>278</v>
      </c>
      <c r="N44" s="258"/>
    </row>
    <row r="45" spans="2:14" ht="13.5" x14ac:dyDescent="0.25">
      <c r="B45" s="32">
        <v>2022</v>
      </c>
      <c r="C45" s="494" t="s">
        <v>283</v>
      </c>
      <c r="D45" s="259" cm="1">
        <f t="array" aca="1" ref="D45" ca="1">_xlfn.XLOOKUP(D$13,INDIRECT("'"&amp;$B45&amp;" EI'!$B$6:$B$53"),_xlfn.XLOOKUP($C$10,INDIRECT("'"&amp;$B45&amp;" EI'!$D$4:$Z$4"),INDIRECT("'"&amp;$B45&amp;" EI'!$D$6:$Z$53")))*_xlfn.XLOOKUP($B45&amp;D$15,'Gas Useage'!$A$4:$A$15&amp;'Gas Useage'!$B$4:$B$15,_xlfn.XLOOKUP($C45&amp;D$14,'Gas Useage'!$C$2:$AB$2&amp;'Gas Useage'!$C$3:$AB$3,'Gas Useage'!$C$4:$AB$15))/_xlfn.XLOOKUP($B45&amp;D$15,'Gas Useage'!$A$4:$A$15&amp;'Gas Useage'!$B$4:$B$15,_xlfn.XLOOKUP(D$14,'Gas Useage'!$AA$3:$AB$3,'Gas Useage'!$AA$4:$AB$15))</f>
        <v>1.8644751312983353E-4</v>
      </c>
      <c r="E45" s="259" cm="1">
        <f t="array" aca="1" ref="E45" ca="1">_xlfn.XLOOKUP(E$13,INDIRECT("'"&amp;$B45&amp;" EI'!$B$6:$B$53"),_xlfn.XLOOKUP($C$10,INDIRECT("'"&amp;$B45&amp;" EI'!$D$4:$Z$4"),INDIRECT("'"&amp;$B45&amp;" EI'!$D$6:$Z$53")))*_xlfn.XLOOKUP($B45&amp;E$15,'Gas Useage'!$A$4:$A$15&amp;'Gas Useage'!$B$4:$B$15,_xlfn.XLOOKUP($C45&amp;E$14,'Gas Useage'!$C$2:$AB$2&amp;'Gas Useage'!$C$3:$AB$3,'Gas Useage'!$C$4:$AB$15))/_xlfn.XLOOKUP($B45&amp;E$15,'Gas Useage'!$A$4:$A$15&amp;'Gas Useage'!$B$4:$B$15,_xlfn.XLOOKUP(E$14,'Gas Useage'!$AA$3:$AB$3,'Gas Useage'!$AA$4:$AB$15))</f>
        <v>1.8193761876634569E-5</v>
      </c>
      <c r="F45" s="259" cm="1">
        <f t="array" aca="1" ref="F45" ca="1">_xlfn.XLOOKUP(F$13,INDIRECT("'"&amp;$B45&amp;" EI'!$B$6:$B$53"),_xlfn.XLOOKUP($C$10,INDIRECT("'"&amp;$B45&amp;" EI'!$D$4:$Z$4"),INDIRECT("'"&amp;$B45&amp;" EI'!$D$6:$Z$53")))*_xlfn.XLOOKUP($B45&amp;F$15,'Gas Useage'!$A$4:$A$15&amp;'Gas Useage'!$B$4:$B$15,_xlfn.XLOOKUP($C45&amp;F$14,'Gas Useage'!$C$2:$AB$2&amp;'Gas Useage'!$C$3:$AB$3,'Gas Useage'!$C$4:$AB$15))/_xlfn.XLOOKUP($B45&amp;F$15,'Gas Useage'!$A$4:$A$15&amp;'Gas Useage'!$B$4:$B$15,_xlfn.XLOOKUP(F$14,'Gas Useage'!$AA$3:$AB$3,'Gas Useage'!$AA$4:$AB$15))</f>
        <v>1.2895103580183402E-4</v>
      </c>
      <c r="G45" s="259" cm="1">
        <f t="array" aca="1" ref="G45" ca="1">_xlfn.XLOOKUP(G$13,INDIRECT("'"&amp;$B45&amp;" EI'!$B$6:$B$53"),_xlfn.XLOOKUP($C$10,INDIRECT("'"&amp;$B45&amp;" EI'!$D$4:$Z$4"),INDIRECT("'"&amp;$B45&amp;" EI'!$D$6:$Z$53")))*_xlfn.XLOOKUP($B45&amp;G$15,'Gas Useage'!$A$4:$A$15&amp;'Gas Useage'!$B$4:$B$15,_xlfn.XLOOKUP($C45&amp;G$14,'Gas Useage'!$C$2:$AB$2&amp;'Gas Useage'!$C$3:$AB$3,'Gas Useage'!$C$4:$AB$15))/_xlfn.XLOOKUP($B45&amp;G$15,'Gas Useage'!$A$4:$A$15&amp;'Gas Useage'!$B$4:$B$15,_xlfn.XLOOKUP(G$14,'Gas Useage'!$AA$3:$AB$3,'Gas Useage'!$AA$4:$AB$15))</f>
        <v>1.2583189766066908E-5</v>
      </c>
      <c r="H45" s="260" t="s">
        <v>278</v>
      </c>
      <c r="I45" s="260" t="s">
        <v>278</v>
      </c>
      <c r="J45" s="260" t="s">
        <v>278</v>
      </c>
      <c r="K45" s="261" t="s">
        <v>278</v>
      </c>
      <c r="N45" s="258"/>
    </row>
    <row r="46" spans="2:14" ht="13.5" x14ac:dyDescent="0.25">
      <c r="B46" s="32">
        <v>2022</v>
      </c>
      <c r="C46" s="494" t="s">
        <v>284</v>
      </c>
      <c r="D46" s="259" cm="1">
        <f t="array" aca="1" ref="D46" ca="1">_xlfn.XLOOKUP(D$13,INDIRECT("'"&amp;$B46&amp;" EI'!$B$6:$B$53"),_xlfn.XLOOKUP($C$10,INDIRECT("'"&amp;$B46&amp;" EI'!$D$4:$Z$4"),INDIRECT("'"&amp;$B46&amp;" EI'!$D$6:$Z$53")))*_xlfn.XLOOKUP($B46&amp;D$15,'Gas Useage'!$A$4:$A$15&amp;'Gas Useage'!$B$4:$B$15,_xlfn.XLOOKUP($C46&amp;D$14,'Gas Useage'!$C$2:$AB$2&amp;'Gas Useage'!$C$3:$AB$3,'Gas Useage'!$C$4:$AB$15))/_xlfn.XLOOKUP($B46&amp;D$15,'Gas Useage'!$A$4:$A$15&amp;'Gas Useage'!$B$4:$B$15,_xlfn.XLOOKUP(D$14,'Gas Useage'!$AA$3:$AB$3,'Gas Useage'!$AA$4:$AB$15))</f>
        <v>5.4023335331095286E-4</v>
      </c>
      <c r="E46" s="259" cm="1">
        <f t="array" aca="1" ref="E46" ca="1">_xlfn.XLOOKUP(E$13,INDIRECT("'"&amp;$B46&amp;" EI'!$B$6:$B$53"),_xlfn.XLOOKUP($C$10,INDIRECT("'"&amp;$B46&amp;" EI'!$D$4:$Z$4"),INDIRECT("'"&amp;$B46&amp;" EI'!$D$6:$Z$53")))*_xlfn.XLOOKUP($B46&amp;E$15,'Gas Useage'!$A$4:$A$15&amp;'Gas Useage'!$B$4:$B$15,_xlfn.XLOOKUP($C46&amp;E$14,'Gas Useage'!$C$2:$AB$2&amp;'Gas Useage'!$C$3:$AB$3,'Gas Useage'!$C$4:$AB$15))/_xlfn.XLOOKUP($B46&amp;E$15,'Gas Useage'!$A$4:$A$15&amp;'Gas Useage'!$B$4:$B$15,_xlfn.XLOOKUP(E$14,'Gas Useage'!$AA$3:$AB$3,'Gas Useage'!$AA$4:$AB$15))</f>
        <v>6.0762364254391256E-5</v>
      </c>
      <c r="F46" s="259" cm="1">
        <f t="array" aca="1" ref="F46" ca="1">_xlfn.XLOOKUP(F$13,INDIRECT("'"&amp;$B46&amp;" EI'!$B$6:$B$53"),_xlfn.XLOOKUP($C$10,INDIRECT("'"&amp;$B46&amp;" EI'!$D$4:$Z$4"),INDIRECT("'"&amp;$B46&amp;" EI'!$D$6:$Z$53")))*_xlfn.XLOOKUP($B46&amp;F$15,'Gas Useage'!$A$4:$A$15&amp;'Gas Useage'!$B$4:$B$15,_xlfn.XLOOKUP($C46&amp;F$14,'Gas Useage'!$C$2:$AB$2&amp;'Gas Useage'!$C$3:$AB$3,'Gas Useage'!$C$4:$AB$15))/_xlfn.XLOOKUP($B46&amp;F$15,'Gas Useage'!$A$4:$A$15&amp;'Gas Useage'!$B$4:$B$15,_xlfn.XLOOKUP(F$14,'Gas Useage'!$AA$3:$AB$3,'Gas Useage'!$AA$4:$AB$15))</f>
        <v>5.1066154459610815E-4</v>
      </c>
      <c r="G46" s="259" cm="1">
        <f t="array" aca="1" ref="G46" ca="1">_xlfn.XLOOKUP(G$13,INDIRECT("'"&amp;$B46&amp;" EI'!$B$6:$B$53"),_xlfn.XLOOKUP($C$10,INDIRECT("'"&amp;$B46&amp;" EI'!$D$4:$Z$4"),INDIRECT("'"&amp;$B46&amp;" EI'!$D$6:$Z$53")))*_xlfn.XLOOKUP($B46&amp;G$15,'Gas Useage'!$A$4:$A$15&amp;'Gas Useage'!$B$4:$B$15,_xlfn.XLOOKUP($C46&amp;G$14,'Gas Useage'!$C$2:$AB$2&amp;'Gas Useage'!$C$3:$AB$3,'Gas Useage'!$C$4:$AB$15))/_xlfn.XLOOKUP($B46&amp;G$15,'Gas Useage'!$A$4:$A$15&amp;'Gas Useage'!$B$4:$B$15,_xlfn.XLOOKUP(G$14,'Gas Useage'!$AA$3:$AB$3,'Gas Useage'!$AA$4:$AB$15))</f>
        <v>5.7436295988187157E-5</v>
      </c>
      <c r="H46" s="260" t="s">
        <v>278</v>
      </c>
      <c r="I46" s="260" t="s">
        <v>278</v>
      </c>
      <c r="J46" s="260" t="s">
        <v>278</v>
      </c>
      <c r="K46" s="261" t="s">
        <v>278</v>
      </c>
      <c r="N46" s="258"/>
    </row>
    <row r="47" spans="2:14" ht="13.5" x14ac:dyDescent="0.25">
      <c r="B47" s="32">
        <v>2022</v>
      </c>
      <c r="C47" s="494" t="s">
        <v>285</v>
      </c>
      <c r="D47" s="259" cm="1">
        <f t="array" aca="1" ref="D47" ca="1">_xlfn.XLOOKUP(D$13,INDIRECT("'"&amp;$B47&amp;" EI'!$B$6:$B$53"),_xlfn.XLOOKUP($C$10,INDIRECT("'"&amp;$B47&amp;" EI'!$D$4:$Z$4"),INDIRECT("'"&amp;$B47&amp;" EI'!$D$6:$Z$53")))*_xlfn.XLOOKUP($B47&amp;D$15,'Gas Useage'!$A$4:$A$15&amp;'Gas Useage'!$B$4:$B$15,_xlfn.XLOOKUP($C47&amp;D$14,'Gas Useage'!$C$2:$AB$2&amp;'Gas Useage'!$C$3:$AB$3,'Gas Useage'!$C$4:$AB$15))/_xlfn.XLOOKUP($B47&amp;D$15,'Gas Useage'!$A$4:$A$15&amp;'Gas Useage'!$B$4:$B$15,_xlfn.XLOOKUP(D$14,'Gas Useage'!$AA$3:$AB$3,'Gas Useage'!$AA$4:$AB$15))</f>
        <v>1.3677816085110144E-3</v>
      </c>
      <c r="E47" s="259" cm="1">
        <f t="array" aca="1" ref="E47" ca="1">_xlfn.XLOOKUP(E$13,INDIRECT("'"&amp;$B47&amp;" EI'!$B$6:$B$53"),_xlfn.XLOOKUP($C$10,INDIRECT("'"&amp;$B47&amp;" EI'!$D$4:$Z$4"),INDIRECT("'"&amp;$B47&amp;" EI'!$D$6:$Z$53")))*_xlfn.XLOOKUP($B47&amp;E$15,'Gas Useage'!$A$4:$A$15&amp;'Gas Useage'!$B$4:$B$15,_xlfn.XLOOKUP($C47&amp;E$14,'Gas Useage'!$C$2:$AB$2&amp;'Gas Useage'!$C$3:$AB$3,'Gas Useage'!$C$4:$AB$15))/_xlfn.XLOOKUP($B47&amp;E$15,'Gas Useage'!$A$4:$A$15&amp;'Gas Useage'!$B$4:$B$15,_xlfn.XLOOKUP(E$14,'Gas Useage'!$AA$3:$AB$3,'Gas Useage'!$AA$4:$AB$15))</f>
        <v>1.0903439042328565E-4</v>
      </c>
      <c r="F47" s="259" cm="1">
        <f t="array" aca="1" ref="F47" ca="1">_xlfn.XLOOKUP(F$13,INDIRECT("'"&amp;$B47&amp;" EI'!$B$6:$B$53"),_xlfn.XLOOKUP($C$10,INDIRECT("'"&amp;$B47&amp;" EI'!$D$4:$Z$4"),INDIRECT("'"&amp;$B47&amp;" EI'!$D$6:$Z$53")))*_xlfn.XLOOKUP($B47&amp;F$15,'Gas Useage'!$A$4:$A$15&amp;'Gas Useage'!$B$4:$B$15,_xlfn.XLOOKUP($C47&amp;F$14,'Gas Useage'!$C$2:$AB$2&amp;'Gas Useage'!$C$3:$AB$3,'Gas Useage'!$C$4:$AB$15))/_xlfn.XLOOKUP($B47&amp;F$15,'Gas Useage'!$A$4:$A$15&amp;'Gas Useage'!$B$4:$B$15,_xlfn.XLOOKUP(F$14,'Gas Useage'!$AA$3:$AB$3,'Gas Useage'!$AA$4:$AB$15))</f>
        <v>9.9370721141879906E-4</v>
      </c>
      <c r="G47" s="259" cm="1">
        <f t="array" aca="1" ref="G47" ca="1">_xlfn.XLOOKUP(G$13,INDIRECT("'"&amp;$B47&amp;" EI'!$B$6:$B$53"),_xlfn.XLOOKUP($C$10,INDIRECT("'"&amp;$B47&amp;" EI'!$D$4:$Z$4"),INDIRECT("'"&amp;$B47&amp;" EI'!$D$6:$Z$53")))*_xlfn.XLOOKUP($B47&amp;G$15,'Gas Useage'!$A$4:$A$15&amp;'Gas Useage'!$B$4:$B$15,_xlfn.XLOOKUP($C47&amp;G$14,'Gas Useage'!$C$2:$AB$2&amp;'Gas Useage'!$C$3:$AB$3,'Gas Useage'!$C$4:$AB$15))/_xlfn.XLOOKUP($B47&amp;G$15,'Gas Useage'!$A$4:$A$15&amp;'Gas Useage'!$B$4:$B$15,_xlfn.XLOOKUP(G$14,'Gas Useage'!$AA$3:$AB$3,'Gas Useage'!$AA$4:$AB$15))</f>
        <v>7.9214590532637117E-5</v>
      </c>
      <c r="H47" s="260" t="s">
        <v>278</v>
      </c>
      <c r="I47" s="260" t="s">
        <v>278</v>
      </c>
      <c r="J47" s="260" t="s">
        <v>278</v>
      </c>
      <c r="K47" s="261" t="s">
        <v>278</v>
      </c>
      <c r="N47" s="258"/>
    </row>
    <row r="48" spans="2:14" ht="14.25" thickBot="1" x14ac:dyDescent="0.3">
      <c r="B48" s="33">
        <v>2022</v>
      </c>
      <c r="C48" s="499" t="s">
        <v>286</v>
      </c>
      <c r="D48" s="262" cm="1">
        <f t="array" aca="1" ref="D48" ca="1">_xlfn.XLOOKUP(D$13,INDIRECT("'"&amp;$B48&amp;" EI'!$B$6:$B$53"),_xlfn.XLOOKUP($C$10,INDIRECT("'"&amp;$B48&amp;" EI'!$D$4:$Z$4"),INDIRECT("'"&amp;$B48&amp;" EI'!$D$6:$Z$53")))*_xlfn.XLOOKUP($B48&amp;D$15,'Gas Useage'!$A$4:$A$15&amp;'Gas Useage'!$B$4:$B$15,_xlfn.XLOOKUP($C48&amp;D$14,'Gas Useage'!$C$2:$AB$2&amp;'Gas Useage'!$C$3:$AB$3,'Gas Useage'!$C$4:$AB$15))/_xlfn.XLOOKUP($B48&amp;D$15,'Gas Useage'!$A$4:$A$15&amp;'Gas Useage'!$B$4:$B$15,_xlfn.XLOOKUP(D$14,'Gas Useage'!$AA$3:$AB$3,'Gas Useage'!$AA$4:$AB$15))</f>
        <v>4.6652378834506516E-4</v>
      </c>
      <c r="E48" s="262" cm="1">
        <f t="array" aca="1" ref="E48" ca="1">_xlfn.XLOOKUP(E$13,INDIRECT("'"&amp;$B48&amp;" EI'!$B$6:$B$53"),_xlfn.XLOOKUP($C$10,INDIRECT("'"&amp;$B48&amp;" EI'!$D$4:$Z$4"),INDIRECT("'"&amp;$B48&amp;" EI'!$D$6:$Z$53")))*_xlfn.XLOOKUP($B48&amp;E$15,'Gas Useage'!$A$4:$A$15&amp;'Gas Useage'!$B$4:$B$15,_xlfn.XLOOKUP($C48&amp;E$14,'Gas Useage'!$C$2:$AB$2&amp;'Gas Useage'!$C$3:$AB$3,'Gas Useage'!$C$4:$AB$15))/_xlfn.XLOOKUP($B48&amp;E$15,'Gas Useage'!$A$4:$A$15&amp;'Gas Useage'!$B$4:$B$15,_xlfn.XLOOKUP(E$14,'Gas Useage'!$AA$3:$AB$3,'Gas Useage'!$AA$4:$AB$15))</f>
        <v>4.6401419903408368E-5</v>
      </c>
      <c r="F48" s="262" cm="1">
        <f t="array" aca="1" ref="F48" ca="1">_xlfn.XLOOKUP(F$13,INDIRECT("'"&amp;$B48&amp;" EI'!$B$6:$B$53"),_xlfn.XLOOKUP($C$10,INDIRECT("'"&amp;$B48&amp;" EI'!$D$4:$Z$4"),INDIRECT("'"&amp;$B48&amp;" EI'!$D$6:$Z$53")))*_xlfn.XLOOKUP($B48&amp;F$15,'Gas Useage'!$A$4:$A$15&amp;'Gas Useage'!$B$4:$B$15,_xlfn.XLOOKUP($C48&amp;F$14,'Gas Useage'!$C$2:$AB$2&amp;'Gas Useage'!$C$3:$AB$3,'Gas Useage'!$C$4:$AB$15))/_xlfn.XLOOKUP($B48&amp;F$15,'Gas Useage'!$A$4:$A$15&amp;'Gas Useage'!$B$4:$B$15,_xlfn.XLOOKUP(F$14,'Gas Useage'!$AA$3:$AB$3,'Gas Useage'!$AA$4:$AB$15))</f>
        <v>2.6440182298246212E-4</v>
      </c>
      <c r="G48" s="262" cm="1">
        <f t="array" aca="1" ref="G48" ca="1">_xlfn.XLOOKUP(G$13,INDIRECT("'"&amp;$B48&amp;" EI'!$B$6:$B$53"),_xlfn.XLOOKUP($C$10,INDIRECT("'"&amp;$B48&amp;" EI'!$D$4:$Z$4"),INDIRECT("'"&amp;$B48&amp;" EI'!$D$6:$Z$53")))*_xlfn.XLOOKUP($B48&amp;G$15,'Gas Useage'!$A$4:$A$15&amp;'Gas Useage'!$B$4:$B$15,_xlfn.XLOOKUP($C48&amp;G$14,'Gas Useage'!$C$2:$AB$2&amp;'Gas Useage'!$C$3:$AB$3,'Gas Useage'!$C$4:$AB$15))/_xlfn.XLOOKUP($B48&amp;G$15,'Gas Useage'!$A$4:$A$15&amp;'Gas Useage'!$B$4:$B$15,_xlfn.XLOOKUP(G$14,'Gas Useage'!$AA$3:$AB$3,'Gas Useage'!$AA$4:$AB$15))</f>
        <v>2.6297951611336405E-5</v>
      </c>
      <c r="H48" s="263">
        <f t="shared" ref="H48:K51" ca="1" si="0">IFERROR(SUM(D25:D48)/2,"--")</f>
        <v>9.804920352228989E-3</v>
      </c>
      <c r="I48" s="263">
        <f t="shared" ca="1" si="0"/>
        <v>7.2604062415729481E-4</v>
      </c>
      <c r="J48" s="263">
        <f t="shared" ca="1" si="0"/>
        <v>9.9198553460971856E-3</v>
      </c>
      <c r="K48" s="264">
        <f t="shared" ca="1" si="0"/>
        <v>7.121376585422451E-4</v>
      </c>
      <c r="N48" s="258"/>
    </row>
    <row r="49" spans="2:14" ht="13.5" hidden="1" x14ac:dyDescent="0.25">
      <c r="B49" s="495">
        <v>2022</v>
      </c>
      <c r="C49" s="284" t="s">
        <v>287</v>
      </c>
      <c r="D49" s="496" cm="1">
        <f t="array" aca="1" ref="D49" ca="1">_xlfn.XLOOKUP(D$13,INDIRECT("'"&amp;$B49&amp;" EI'!$B$6:$B$53"),_xlfn.XLOOKUP($C$10,INDIRECT("'"&amp;$B49&amp;" EI'!$D$4:$Z$4"),INDIRECT("'"&amp;$B49&amp;" EI'!$D$6:$Z$53")))*_xlfn.XLOOKUP($B49&amp;D$15,'Gas Useage'!$A$4:$A$15&amp;'Gas Useage'!$B$4:$B$15,_xlfn.XLOOKUP($C49&amp;D$14,'Gas Useage'!$C$2:$AB$2&amp;'Gas Useage'!$C$3:$AB$3,'Gas Useage'!$C$4:$AB$15))/_xlfn.XLOOKUP($B49&amp;D$15,'Gas Useage'!$A$4:$A$15&amp;'Gas Useage'!$B$4:$B$15,_xlfn.XLOOKUP(D$14,'Gas Useage'!$AA$3:$AB$3,'Gas Useage'!$AA$4:$AB$15))</f>
        <v>3.2895319879486457E-4</v>
      </c>
      <c r="E49" s="496" cm="1">
        <f t="array" aca="1" ref="E49" ca="1">_xlfn.XLOOKUP(E$13,INDIRECT("'"&amp;$B49&amp;" EI'!$B$6:$B$53"),_xlfn.XLOOKUP($C$10,INDIRECT("'"&amp;$B49&amp;" EI'!$D$4:$Z$4"),INDIRECT("'"&amp;$B49&amp;" EI'!$D$6:$Z$53")))*_xlfn.XLOOKUP($B49&amp;E$15,'Gas Useage'!$A$4:$A$15&amp;'Gas Useage'!$B$4:$B$15,_xlfn.XLOOKUP($C49&amp;E$14,'Gas Useage'!$C$2:$AB$2&amp;'Gas Useage'!$C$3:$AB$3,'Gas Useage'!$C$4:$AB$15))/_xlfn.XLOOKUP($B49&amp;E$15,'Gas Useage'!$A$4:$A$15&amp;'Gas Useage'!$B$4:$B$15,_xlfn.XLOOKUP(E$14,'Gas Useage'!$AA$3:$AB$3,'Gas Useage'!$AA$4:$AB$15))</f>
        <v>4.9277073529196088E-5</v>
      </c>
      <c r="F49" s="496" cm="1">
        <f t="array" aca="1" ref="F49" ca="1">_xlfn.XLOOKUP(F$13,INDIRECT("'"&amp;$B49&amp;" EI'!$B$6:$B$53"),_xlfn.XLOOKUP($C$10,INDIRECT("'"&amp;$B49&amp;" EI'!$D$4:$Z$4"),INDIRECT("'"&amp;$B49&amp;" EI'!$D$6:$Z$53")))*_xlfn.XLOOKUP($B49&amp;F$15,'Gas Useage'!$A$4:$A$15&amp;'Gas Useage'!$B$4:$B$15,_xlfn.XLOOKUP($C49&amp;F$14,'Gas Useage'!$C$2:$AB$2&amp;'Gas Useage'!$C$3:$AB$3,'Gas Useage'!$C$4:$AB$15))/_xlfn.XLOOKUP($B49&amp;F$15,'Gas Useage'!$A$4:$A$15&amp;'Gas Useage'!$B$4:$B$15,_xlfn.XLOOKUP(F$14,'Gas Useage'!$AA$3:$AB$3,'Gas Useage'!$AA$4:$AB$15))</f>
        <v>2.484226662447944E-4</v>
      </c>
      <c r="G49" s="496" cm="1">
        <f t="array" aca="1" ref="G49" ca="1">_xlfn.XLOOKUP(G$13,INDIRECT("'"&amp;$B49&amp;" EI'!$B$6:$B$53"),_xlfn.XLOOKUP($C$10,INDIRECT("'"&amp;$B49&amp;" EI'!$D$4:$Z$4"),INDIRECT("'"&amp;$B49&amp;" EI'!$D$6:$Z$53")))*_xlfn.XLOOKUP($B49&amp;G$15,'Gas Useage'!$A$4:$A$15&amp;'Gas Useage'!$B$4:$B$15,_xlfn.XLOOKUP($C49&amp;G$14,'Gas Useage'!$C$2:$AB$2&amp;'Gas Useage'!$C$3:$AB$3,'Gas Useage'!$C$4:$AB$15))/_xlfn.XLOOKUP($B49&amp;G$15,'Gas Useage'!$A$4:$A$15&amp;'Gas Useage'!$B$4:$B$15,_xlfn.XLOOKUP(G$14,'Gas Useage'!$AA$3:$AB$3,'Gas Useage'!$AA$4:$AB$15))</f>
        <v>3.7213628065363509E-5</v>
      </c>
      <c r="H49" s="497">
        <f t="shared" ca="1" si="0"/>
        <v>9.765020857192953E-3</v>
      </c>
      <c r="I49" s="497">
        <f t="shared" ca="1" si="0"/>
        <v>7.3492684865995004E-4</v>
      </c>
      <c r="J49" s="497">
        <f t="shared" ca="1" si="0"/>
        <v>9.5714147099435921E-3</v>
      </c>
      <c r="K49" s="498">
        <f t="shared" ca="1" si="0"/>
        <v>6.9431476472726417E-4</v>
      </c>
      <c r="N49" s="258"/>
    </row>
    <row r="50" spans="2:14" ht="13.5" hidden="1" x14ac:dyDescent="0.25">
      <c r="B50" s="283">
        <v>2022</v>
      </c>
      <c r="C50" s="284" t="s">
        <v>288</v>
      </c>
      <c r="D50" s="290" cm="1">
        <f t="array" aca="1" ref="D50" ca="1">_xlfn.XLOOKUP(D$13,INDIRECT("'"&amp;$B50&amp;" EI'!$B$6:$B$53"),_xlfn.XLOOKUP($C$10,INDIRECT("'"&amp;$B50&amp;" EI'!$D$4:$Z$4"),INDIRECT("'"&amp;$B50&amp;" EI'!$D$6:$Z$53")))*_xlfn.XLOOKUP($B50&amp;D$15,'Gas Useage'!$A$4:$A$15&amp;'Gas Useage'!$B$4:$B$15,_xlfn.XLOOKUP($C50&amp;D$14,'Gas Useage'!$C$2:$AB$2&amp;'Gas Useage'!$C$3:$AB$3,'Gas Useage'!$C$4:$AB$15))/_xlfn.XLOOKUP($B50&amp;D$15,'Gas Useage'!$A$4:$A$15&amp;'Gas Useage'!$B$4:$B$15,_xlfn.XLOOKUP(D$14,'Gas Useage'!$AA$3:$AB$3,'Gas Useage'!$AA$4:$AB$15))</f>
        <v>5.0075819989047687E-7</v>
      </c>
      <c r="E50" s="290" cm="1">
        <f t="array" aca="1" ref="E50" ca="1">_xlfn.XLOOKUP(E$13,INDIRECT("'"&amp;$B50&amp;" EI'!$B$6:$B$53"),_xlfn.XLOOKUP($C$10,INDIRECT("'"&amp;$B50&amp;" EI'!$D$4:$Z$4"),INDIRECT("'"&amp;$B50&amp;" EI'!$D$6:$Z$53")))*_xlfn.XLOOKUP($B50&amp;E$15,'Gas Useage'!$A$4:$A$15&amp;'Gas Useage'!$B$4:$B$15,_xlfn.XLOOKUP($C50&amp;E$14,'Gas Useage'!$C$2:$AB$2&amp;'Gas Useage'!$C$3:$AB$3,'Gas Useage'!$C$4:$AB$15))/_xlfn.XLOOKUP($B50&amp;E$15,'Gas Useage'!$A$4:$A$15&amp;'Gas Useage'!$B$4:$B$15,_xlfn.XLOOKUP(E$14,'Gas Useage'!$AA$3:$AB$3,'Gas Useage'!$AA$4:$AB$15))</f>
        <v>5.2231089979542965E-8</v>
      </c>
      <c r="F50" s="290" cm="1">
        <f t="array" aca="1" ref="F50" ca="1">_xlfn.XLOOKUP(F$13,INDIRECT("'"&amp;$B50&amp;" EI'!$B$6:$B$53"),_xlfn.XLOOKUP($C$10,INDIRECT("'"&amp;$B50&amp;" EI'!$D$4:$Z$4"),INDIRECT("'"&amp;$B50&amp;" EI'!$D$6:$Z$53")))*_xlfn.XLOOKUP($B50&amp;F$15,'Gas Useage'!$A$4:$A$15&amp;'Gas Useage'!$B$4:$B$15,_xlfn.XLOOKUP($C50&amp;F$14,'Gas Useage'!$C$2:$AB$2&amp;'Gas Useage'!$C$3:$AB$3,'Gas Useage'!$C$4:$AB$15))/_xlfn.XLOOKUP($B50&amp;F$15,'Gas Useage'!$A$4:$A$15&amp;'Gas Useage'!$B$4:$B$15,_xlfn.XLOOKUP(F$14,'Gas Useage'!$AA$3:$AB$3,'Gas Useage'!$AA$4:$AB$15))</f>
        <v>4.2141696816985709E-7</v>
      </c>
      <c r="G50" s="290" cm="1">
        <f t="array" aca="1" ref="G50" ca="1">_xlfn.XLOOKUP(G$13,INDIRECT("'"&amp;$B50&amp;" EI'!$B$6:$B$53"),_xlfn.XLOOKUP($C$10,INDIRECT("'"&amp;$B50&amp;" EI'!$D$4:$Z$4"),INDIRECT("'"&amp;$B50&amp;" EI'!$D$6:$Z$53")))*_xlfn.XLOOKUP($B50&amp;G$15,'Gas Useage'!$A$4:$A$15&amp;'Gas Useage'!$B$4:$B$15,_xlfn.XLOOKUP($C50&amp;G$14,'Gas Useage'!$C$2:$AB$2&amp;'Gas Useage'!$C$3:$AB$3,'Gas Useage'!$C$4:$AB$15))/_xlfn.XLOOKUP($B50&amp;G$15,'Gas Useage'!$A$4:$A$15&amp;'Gas Useage'!$B$4:$B$15,_xlfn.XLOOKUP(G$14,'Gas Useage'!$AA$3:$AB$3,'Gas Useage'!$AA$4:$AB$15))</f>
        <v>4.395548108488316E-8</v>
      </c>
      <c r="H50" s="291">
        <f t="shared" ca="1" si="0"/>
        <v>9.3245950740888095E-3</v>
      </c>
      <c r="I50" s="291">
        <f t="shared" ca="1" si="0"/>
        <v>6.890669002654477E-4</v>
      </c>
      <c r="J50" s="291">
        <f t="shared" ca="1" si="0"/>
        <v>8.9045700917183192E-3</v>
      </c>
      <c r="K50" s="292">
        <f t="shared" ca="1" si="0"/>
        <v>6.2487860972136361E-4</v>
      </c>
      <c r="N50" s="258"/>
    </row>
    <row r="51" spans="2:14" ht="14.25" hidden="1" thickBot="1" x14ac:dyDescent="0.3">
      <c r="B51" s="285">
        <v>2022</v>
      </c>
      <c r="C51" s="286" t="s">
        <v>289</v>
      </c>
      <c r="D51" s="287" cm="1">
        <f t="array" aca="1" ref="D51" ca="1">_xlfn.XLOOKUP(D$13,INDIRECT("'"&amp;$B51&amp;" EI'!$B$6:$B$53"),_xlfn.XLOOKUP($C$10,INDIRECT("'"&amp;$B51&amp;" EI'!$D$4:$Z$4"),INDIRECT("'"&amp;$B51&amp;" EI'!$D$6:$Z$53")))*_xlfn.XLOOKUP($B51&amp;D$15,'Gas Useage'!$A$4:$A$15&amp;'Gas Useage'!$B$4:$B$15,_xlfn.XLOOKUP($C51&amp;D$14,'Gas Useage'!$C$2:$AB$2&amp;'Gas Useage'!$C$3:$AB$3,'Gas Useage'!$C$4:$AB$15))/_xlfn.XLOOKUP($B51&amp;D$15,'Gas Useage'!$A$4:$A$15&amp;'Gas Useage'!$B$4:$B$15,_xlfn.XLOOKUP(D$14,'Gas Useage'!$AA$3:$AB$3,'Gas Useage'!$AA$4:$AB$15))</f>
        <v>1.6770744485957121E-7</v>
      </c>
      <c r="E51" s="287" cm="1">
        <f t="array" aca="1" ref="E51" ca="1">_xlfn.XLOOKUP(E$13,INDIRECT("'"&amp;$B51&amp;" EI'!$B$6:$B$53"),_xlfn.XLOOKUP($C$10,INDIRECT("'"&amp;$B51&amp;" EI'!$D$4:$Z$4"),INDIRECT("'"&amp;$B51&amp;" EI'!$D$6:$Z$53")))*_xlfn.XLOOKUP($B51&amp;E$15,'Gas Useage'!$A$4:$A$15&amp;'Gas Useage'!$B$4:$B$15,_xlfn.XLOOKUP($C51&amp;E$14,'Gas Useage'!$C$2:$AB$2&amp;'Gas Useage'!$C$3:$AB$3,'Gas Useage'!$C$4:$AB$15))/_xlfn.XLOOKUP($B51&amp;E$15,'Gas Useage'!$A$4:$A$15&amp;'Gas Useage'!$B$4:$B$15,_xlfn.XLOOKUP(E$14,'Gas Useage'!$AA$3:$AB$3,'Gas Useage'!$AA$4:$AB$15))</f>
        <v>1.9073999247440713E-8</v>
      </c>
      <c r="F51" s="287" cm="1">
        <f t="array" aca="1" ref="F51" ca="1">_xlfn.XLOOKUP(F$13,INDIRECT("'"&amp;$B51&amp;" EI'!$B$6:$B$53"),_xlfn.XLOOKUP($C$10,INDIRECT("'"&amp;$B51&amp;" EI'!$D$4:$Z$4"),INDIRECT("'"&amp;$B51&amp;" EI'!$D$6:$Z$53")))*_xlfn.XLOOKUP($B51&amp;F$15,'Gas Useage'!$A$4:$A$15&amp;'Gas Useage'!$B$4:$B$15,_xlfn.XLOOKUP($C51&amp;F$14,'Gas Useage'!$C$2:$AB$2&amp;'Gas Useage'!$C$3:$AB$3,'Gas Useage'!$C$4:$AB$15))/_xlfn.XLOOKUP($B51&amp;F$15,'Gas Useage'!$A$4:$A$15&amp;'Gas Useage'!$B$4:$B$15,_xlfn.XLOOKUP(F$14,'Gas Useage'!$AA$3:$AB$3,'Gas Useage'!$AA$4:$AB$15))</f>
        <v>1.2138008222393071E-7</v>
      </c>
      <c r="G51" s="287" cm="1">
        <f t="array" aca="1" ref="G51" ca="1">_xlfn.XLOOKUP(G$13,INDIRECT("'"&amp;$B51&amp;" EI'!$B$6:$B$53"),_xlfn.XLOOKUP($C$10,INDIRECT("'"&amp;$B51&amp;" EI'!$D$4:$Z$4"),INDIRECT("'"&amp;$B51&amp;" EI'!$D$6:$Z$53")))*_xlfn.XLOOKUP($B51&amp;G$15,'Gas Useage'!$A$4:$A$15&amp;'Gas Useage'!$B$4:$B$15,_xlfn.XLOOKUP($C51&amp;G$14,'Gas Useage'!$C$2:$AB$2&amp;'Gas Useage'!$C$3:$AB$3,'Gas Useage'!$C$4:$AB$15))/_xlfn.XLOOKUP($B51&amp;G$15,'Gas Useage'!$A$4:$A$15&amp;'Gas Useage'!$B$4:$B$15,_xlfn.XLOOKUP(G$14,'Gas Useage'!$AA$3:$AB$3,'Gas Useage'!$AA$4:$AB$15))</f>
        <v>1.3805013837830321E-8</v>
      </c>
      <c r="H51" s="288">
        <f t="shared" ca="1" si="0"/>
        <v>8.8840027656071508E-3</v>
      </c>
      <c r="I51" s="288">
        <f t="shared" ca="1" si="0"/>
        <v>6.4319037332557908E-4</v>
      </c>
      <c r="J51" s="288">
        <f t="shared" ca="1" si="0"/>
        <v>8.2375754550500745E-3</v>
      </c>
      <c r="K51" s="289">
        <f t="shared" ca="1" si="0"/>
        <v>5.5542737948183977E-4</v>
      </c>
      <c r="N51" s="258"/>
    </row>
    <row r="53" spans="2:14" x14ac:dyDescent="0.2">
      <c r="B53" s="265"/>
      <c r="C53" s="265"/>
    </row>
    <row r="54" spans="2:14" x14ac:dyDescent="0.2">
      <c r="B54" s="266"/>
      <c r="C54" s="266"/>
      <c r="D54" s="267"/>
      <c r="E54" s="267"/>
      <c r="F54" s="267"/>
      <c r="G54" s="267"/>
    </row>
    <row r="55" spans="2:14" x14ac:dyDescent="0.2">
      <c r="B55" s="266"/>
      <c r="C55" s="266"/>
      <c r="D55" s="267"/>
      <c r="E55" s="267"/>
      <c r="F55" s="267"/>
      <c r="G55" s="267"/>
    </row>
    <row r="56" spans="2:14" x14ac:dyDescent="0.2">
      <c r="B56" s="266"/>
      <c r="C56" s="266"/>
      <c r="D56" s="267"/>
      <c r="E56" s="267"/>
      <c r="F56" s="267"/>
      <c r="G56" s="267"/>
    </row>
    <row r="57" spans="2:14" x14ac:dyDescent="0.2">
      <c r="B57" s="266"/>
      <c r="C57" s="266"/>
      <c r="D57" s="267"/>
      <c r="E57" s="267"/>
      <c r="F57" s="267"/>
      <c r="G57" s="267"/>
    </row>
    <row r="58" spans="2:14" x14ac:dyDescent="0.2">
      <c r="B58" s="266"/>
      <c r="C58" s="266"/>
      <c r="D58" s="267"/>
      <c r="E58" s="267"/>
      <c r="F58" s="267"/>
      <c r="G58" s="267"/>
      <c r="H58" s="267"/>
      <c r="I58" s="267"/>
      <c r="J58" s="267"/>
      <c r="K58" s="267"/>
    </row>
    <row r="61" spans="2:14" x14ac:dyDescent="0.2">
      <c r="B61" s="265"/>
      <c r="C61" s="265"/>
      <c r="D61" s="268"/>
    </row>
    <row r="62" spans="2:14" x14ac:dyDescent="0.2">
      <c r="B62" s="266"/>
      <c r="C62" s="266"/>
    </row>
    <row r="63" spans="2:14" x14ac:dyDescent="0.2">
      <c r="B63" s="266"/>
      <c r="C63" s="266"/>
    </row>
    <row r="64" spans="2:14" x14ac:dyDescent="0.2">
      <c r="B64" s="266"/>
      <c r="C64" s="266"/>
    </row>
    <row r="65" spans="2:3" x14ac:dyDescent="0.2">
      <c r="B65" s="266"/>
      <c r="C65" s="266"/>
    </row>
    <row r="66" spans="2:3" x14ac:dyDescent="0.2">
      <c r="B66" s="266"/>
      <c r="C66" s="266"/>
    </row>
    <row r="68" spans="2:3" x14ac:dyDescent="0.2">
      <c r="B68" s="266"/>
      <c r="C68" s="266"/>
    </row>
    <row r="70" spans="2:3" x14ac:dyDescent="0.2">
      <c r="B70" s="265"/>
      <c r="C70" s="265"/>
    </row>
  </sheetData>
  <mergeCells count="2">
    <mergeCell ref="D12:G12"/>
    <mergeCell ref="H12:K12"/>
  </mergeCells>
  <pageMargins left="0.7" right="0.7" top="0.75" bottom="0.75" header="0.3" footer="0.3"/>
  <pageSetup scale="66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63936-710F-4092-8839-E5F3A64287FC}">
  <sheetPr>
    <tabColor theme="2" tint="-9.9978637043366805E-2"/>
  </sheetPr>
  <dimension ref="A1"/>
  <sheetViews>
    <sheetView workbookViewId="0">
      <selection activeCell="I21" sqref="I21"/>
    </sheetView>
  </sheetViews>
  <sheetFormatPr defaultRowHeight="12.75" x14ac:dyDescent="0.2"/>
  <sheetData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FAAF6-F1F8-4C37-89C9-8409184F03D4}">
  <sheetPr>
    <tabColor theme="2" tint="-9.9978637043366805E-2"/>
  </sheetPr>
  <dimension ref="A1:BN18"/>
  <sheetViews>
    <sheetView workbookViewId="0">
      <selection activeCell="Z20" sqref="Z20"/>
    </sheetView>
  </sheetViews>
  <sheetFormatPr defaultColWidth="8.85546875" defaultRowHeight="12.75" x14ac:dyDescent="0.2"/>
  <cols>
    <col min="2" max="2" width="26.42578125" customWidth="1"/>
    <col min="3" max="3" width="16.42578125" bestFit="1" customWidth="1"/>
    <col min="4" max="4" width="12.42578125" bestFit="1" customWidth="1"/>
    <col min="5" max="5" width="16.42578125" bestFit="1" customWidth="1"/>
    <col min="6" max="6" width="12.42578125" bestFit="1" customWidth="1"/>
    <col min="7" max="7" width="16.42578125" bestFit="1" customWidth="1"/>
    <col min="8" max="8" width="12.42578125" bestFit="1" customWidth="1"/>
    <col min="9" max="9" width="16.42578125" bestFit="1" customWidth="1"/>
    <col min="10" max="10" width="12.42578125" bestFit="1" customWidth="1"/>
    <col min="11" max="11" width="16.42578125" bestFit="1" customWidth="1"/>
    <col min="12" max="12" width="12.42578125" bestFit="1" customWidth="1"/>
    <col min="13" max="13" width="16.42578125" bestFit="1" customWidth="1"/>
    <col min="14" max="14" width="12.42578125" bestFit="1" customWidth="1"/>
    <col min="15" max="15" width="16.42578125" bestFit="1" customWidth="1"/>
    <col min="16" max="16" width="12.42578125" bestFit="1" customWidth="1"/>
    <col min="17" max="17" width="16.42578125" bestFit="1" customWidth="1"/>
    <col min="18" max="18" width="12.42578125" bestFit="1" customWidth="1"/>
    <col min="19" max="19" width="16.42578125" bestFit="1" customWidth="1"/>
    <col min="20" max="20" width="12.42578125" bestFit="1" customWidth="1"/>
    <col min="21" max="21" width="16.42578125" bestFit="1" customWidth="1"/>
    <col min="22" max="22" width="12.42578125" bestFit="1" customWidth="1"/>
    <col min="23" max="23" width="16.42578125" bestFit="1" customWidth="1"/>
    <col min="24" max="24" width="12.42578125" bestFit="1" customWidth="1"/>
    <col min="25" max="25" width="16.42578125" bestFit="1" customWidth="1"/>
    <col min="26" max="26" width="12.42578125" bestFit="1" customWidth="1"/>
    <col min="27" max="27" width="16.42578125" bestFit="1" customWidth="1"/>
    <col min="28" max="28" width="12.42578125" bestFit="1" customWidth="1"/>
    <col min="30" max="31" width="11.5703125" bestFit="1" customWidth="1"/>
  </cols>
  <sheetData>
    <row r="1" spans="1:66" ht="20.25" x14ac:dyDescent="0.2">
      <c r="B1" s="587" t="s">
        <v>297</v>
      </c>
      <c r="C1" s="587"/>
      <c r="D1" s="587"/>
      <c r="E1" s="587"/>
      <c r="F1" s="587"/>
      <c r="G1" s="587"/>
      <c r="H1" s="587"/>
      <c r="I1" s="587"/>
      <c r="J1" s="587"/>
      <c r="K1" s="587"/>
      <c r="L1" s="587"/>
      <c r="M1" s="587"/>
      <c r="N1" s="587"/>
      <c r="O1" s="587"/>
      <c r="P1" s="587"/>
      <c r="Q1" s="587"/>
      <c r="R1" s="587"/>
      <c r="S1" s="587"/>
      <c r="T1" s="587"/>
      <c r="U1" s="587"/>
      <c r="V1" s="587"/>
      <c r="W1" s="587"/>
      <c r="X1" s="587"/>
      <c r="Y1" s="587"/>
      <c r="Z1" s="587"/>
      <c r="AA1" s="587"/>
      <c r="AB1" s="587"/>
    </row>
    <row r="2" spans="1:66" x14ac:dyDescent="0.2">
      <c r="A2" s="590" t="s">
        <v>267</v>
      </c>
      <c r="B2" s="588" t="s">
        <v>298</v>
      </c>
      <c r="C2" s="200" t="s">
        <v>277</v>
      </c>
      <c r="D2" s="200" t="s">
        <v>277</v>
      </c>
      <c r="E2" s="201" t="s">
        <v>279</v>
      </c>
      <c r="F2" s="201" t="s">
        <v>279</v>
      </c>
      <c r="G2" s="201" t="s">
        <v>280</v>
      </c>
      <c r="H2" s="201" t="s">
        <v>280</v>
      </c>
      <c r="I2" s="201" t="s">
        <v>281</v>
      </c>
      <c r="J2" s="201" t="s">
        <v>281</v>
      </c>
      <c r="K2" s="201" t="s">
        <v>282</v>
      </c>
      <c r="L2" s="201" t="s">
        <v>282</v>
      </c>
      <c r="M2" s="201" t="s">
        <v>283</v>
      </c>
      <c r="N2" s="201" t="s">
        <v>283</v>
      </c>
      <c r="O2" s="38" t="s">
        <v>284</v>
      </c>
      <c r="P2" s="38" t="s">
        <v>284</v>
      </c>
      <c r="Q2" s="38" t="s">
        <v>285</v>
      </c>
      <c r="R2" s="38" t="s">
        <v>285</v>
      </c>
      <c r="S2" s="38" t="s">
        <v>286</v>
      </c>
      <c r="T2" s="38" t="s">
        <v>286</v>
      </c>
      <c r="U2" s="38" t="s">
        <v>287</v>
      </c>
      <c r="V2" s="38" t="s">
        <v>287</v>
      </c>
      <c r="W2" s="38" t="s">
        <v>288</v>
      </c>
      <c r="X2" s="38" t="s">
        <v>288</v>
      </c>
      <c r="Y2" s="38" t="s">
        <v>289</v>
      </c>
      <c r="Z2" s="38" t="s">
        <v>289</v>
      </c>
      <c r="AA2" s="591" t="s">
        <v>299</v>
      </c>
      <c r="AB2" s="591"/>
    </row>
    <row r="3" spans="1:66" x14ac:dyDescent="0.2">
      <c r="A3" s="590"/>
      <c r="B3" s="589"/>
      <c r="C3" s="8" t="s">
        <v>274</v>
      </c>
      <c r="D3" s="8" t="s">
        <v>273</v>
      </c>
      <c r="E3" s="8" t="s">
        <v>274</v>
      </c>
      <c r="F3" s="8" t="s">
        <v>273</v>
      </c>
      <c r="G3" s="8" t="s">
        <v>274</v>
      </c>
      <c r="H3" s="8" t="s">
        <v>273</v>
      </c>
      <c r="I3" s="8" t="s">
        <v>274</v>
      </c>
      <c r="J3" s="8" t="s">
        <v>273</v>
      </c>
      <c r="K3" s="8" t="s">
        <v>274</v>
      </c>
      <c r="L3" s="8" t="s">
        <v>273</v>
      </c>
      <c r="M3" s="8" t="s">
        <v>274</v>
      </c>
      <c r="N3" s="8" t="s">
        <v>273</v>
      </c>
      <c r="O3" s="8" t="s">
        <v>274</v>
      </c>
      <c r="P3" s="8" t="s">
        <v>273</v>
      </c>
      <c r="Q3" s="8" t="s">
        <v>274</v>
      </c>
      <c r="R3" s="8" t="s">
        <v>273</v>
      </c>
      <c r="S3" s="8" t="s">
        <v>274</v>
      </c>
      <c r="T3" s="8" t="s">
        <v>273</v>
      </c>
      <c r="U3" s="8" t="s">
        <v>274</v>
      </c>
      <c r="V3" s="8" t="s">
        <v>273</v>
      </c>
      <c r="W3" s="8" t="s">
        <v>274</v>
      </c>
      <c r="X3" s="8" t="s">
        <v>273</v>
      </c>
      <c r="Y3" s="8" t="s">
        <v>274</v>
      </c>
      <c r="Z3" s="8" t="s">
        <v>273</v>
      </c>
      <c r="AA3" s="8" t="s">
        <v>274</v>
      </c>
      <c r="AB3" s="8" t="s">
        <v>273</v>
      </c>
      <c r="AE3" s="539"/>
    </row>
    <row r="4" spans="1:66" hidden="1" x14ac:dyDescent="0.2">
      <c r="A4">
        <v>2020</v>
      </c>
      <c r="B4" s="10" t="s">
        <v>300</v>
      </c>
      <c r="C4" s="8">
        <v>1409.7984312874498</v>
      </c>
      <c r="D4" s="8">
        <v>19702.98637492066</v>
      </c>
      <c r="E4" s="8">
        <v>4413.7628429406759</v>
      </c>
      <c r="F4" s="8">
        <v>49277.869750430436</v>
      </c>
      <c r="G4" s="8">
        <v>4507.5054097213779</v>
      </c>
      <c r="H4" s="8">
        <v>48183.321520207166</v>
      </c>
      <c r="I4" s="8">
        <v>1830.5857588641613</v>
      </c>
      <c r="J4" s="8">
        <v>19121.483841643461</v>
      </c>
      <c r="K4" s="8">
        <v>1538.110680082314</v>
      </c>
      <c r="L4" s="8">
        <v>27568.751637195655</v>
      </c>
      <c r="M4" s="8">
        <v>1818.3241811912469</v>
      </c>
      <c r="N4" s="8">
        <v>49053.77172217091</v>
      </c>
      <c r="O4" s="8">
        <v>3101.5785081246304</v>
      </c>
      <c r="P4" s="8">
        <v>34849.422572438401</v>
      </c>
      <c r="Q4" s="8">
        <v>2510.3393523006062</v>
      </c>
      <c r="R4" s="8">
        <v>37096.115662264565</v>
      </c>
      <c r="S4" s="8">
        <v>1507.913623142495</v>
      </c>
      <c r="T4" s="8">
        <v>13659.598204792877</v>
      </c>
      <c r="U4" s="8">
        <v>3307.8573959109144</v>
      </c>
      <c r="V4" s="8">
        <v>42917.31678989443</v>
      </c>
      <c r="W4" s="8">
        <v>4868.9938016802025</v>
      </c>
      <c r="X4" s="8">
        <v>46760.373806506541</v>
      </c>
      <c r="Y4" s="8">
        <v>4868.9938016802025</v>
      </c>
      <c r="Z4" s="8">
        <v>46760.373806506541</v>
      </c>
      <c r="AA4" s="8">
        <f t="shared" ref="AA4:AA15" si="0">SUM(C4,E4,G4,I4,K4,M4,O4,Q4,S4,U4,W4,Y4)</f>
        <v>35683.763786926276</v>
      </c>
      <c r="AB4" s="8">
        <f t="shared" ref="AB4:AB10" si="1">SUM(D4,F4,H4,J4,L4,N4,P4,R4,T4,V4,X4,Z4)</f>
        <v>434951.38568897161</v>
      </c>
      <c r="AE4" s="7"/>
      <c r="AF4" s="7"/>
      <c r="AG4" s="7"/>
      <c r="AH4" s="7"/>
      <c r="AI4" s="7"/>
      <c r="AJ4" s="7"/>
      <c r="AK4" s="11"/>
      <c r="AL4" s="7"/>
      <c r="AM4" s="7"/>
      <c r="AN4" s="7"/>
      <c r="BM4" s="12" t="s">
        <v>285</v>
      </c>
      <c r="BN4" s="1">
        <v>4.0967994664623752</v>
      </c>
    </row>
    <row r="5" spans="1:66" hidden="1" x14ac:dyDescent="0.2">
      <c r="A5">
        <v>2020</v>
      </c>
      <c r="B5" s="10" t="s">
        <v>301</v>
      </c>
      <c r="C5" s="8">
        <v>2092.3127692780417</v>
      </c>
      <c r="D5" s="8">
        <v>29241.634172844577</v>
      </c>
      <c r="E5" s="8">
        <v>1845.9324717606073</v>
      </c>
      <c r="F5" s="8">
        <v>20609.086429959767</v>
      </c>
      <c r="G5" s="8">
        <v>2298.3365570511805</v>
      </c>
      <c r="H5" s="8">
        <v>24568.243235206286</v>
      </c>
      <c r="I5" s="8">
        <v>5201.7057415352901</v>
      </c>
      <c r="J5" s="8">
        <v>54334.702323624828</v>
      </c>
      <c r="K5" s="8">
        <v>2293.9945129064345</v>
      </c>
      <c r="L5" s="8">
        <v>41117.044307905468</v>
      </c>
      <c r="M5" s="8">
        <v>1895.4524586949326</v>
      </c>
      <c r="N5" s="8">
        <v>51134.496907000925</v>
      </c>
      <c r="O5" s="8">
        <v>2187.0149139742425</v>
      </c>
      <c r="P5" s="8">
        <v>24573.360535502783</v>
      </c>
      <c r="Q5" s="8">
        <v>2975.7345324596031</v>
      </c>
      <c r="R5" s="8">
        <v>43973.414309563654</v>
      </c>
      <c r="S5" s="8">
        <v>1821.8031472909311</v>
      </c>
      <c r="T5" s="8">
        <v>16503.000316663114</v>
      </c>
      <c r="U5" s="8">
        <v>3292.0365742553554</v>
      </c>
      <c r="V5" s="8">
        <v>42712.051830253971</v>
      </c>
      <c r="W5" s="8">
        <v>2928.2313927544596</v>
      </c>
      <c r="X5" s="8">
        <v>28121.86667189746</v>
      </c>
      <c r="Y5" s="8">
        <v>2928.2313927544596</v>
      </c>
      <c r="Z5" s="8">
        <v>28121.86667189746</v>
      </c>
      <c r="AA5" s="8">
        <f t="shared" si="0"/>
        <v>31760.78646471554</v>
      </c>
      <c r="AB5" s="8">
        <f t="shared" si="1"/>
        <v>405010.76771232032</v>
      </c>
      <c r="AE5" s="7"/>
      <c r="AG5" s="7"/>
      <c r="AH5" s="7"/>
      <c r="AI5" s="7"/>
      <c r="AJ5" s="7"/>
      <c r="AK5" s="11"/>
      <c r="AL5" s="7"/>
      <c r="AM5" s="7"/>
      <c r="AN5" s="7"/>
      <c r="BM5" s="12" t="s">
        <v>286</v>
      </c>
      <c r="BN5" s="1">
        <v>3.5094891850175229</v>
      </c>
    </row>
    <row r="6" spans="1:66" x14ac:dyDescent="0.2">
      <c r="A6">
        <v>2020</v>
      </c>
      <c r="B6" s="10" t="s">
        <v>302</v>
      </c>
      <c r="C6" s="8">
        <v>1036.3752908517806</v>
      </c>
      <c r="D6" s="8">
        <v>14484.118993031856</v>
      </c>
      <c r="E6" s="8">
        <v>2150.6929925463187</v>
      </c>
      <c r="F6" s="8">
        <v>24011.613883914655</v>
      </c>
      <c r="G6" s="8">
        <v>2292.7455293191329</v>
      </c>
      <c r="H6" s="8">
        <v>24508.4775195045</v>
      </c>
      <c r="I6" s="8">
        <v>909.19025379982179</v>
      </c>
      <c r="J6" s="8">
        <v>9496.9966104183313</v>
      </c>
      <c r="K6" s="8">
        <v>33.209994085653001</v>
      </c>
      <c r="L6" s="8">
        <v>595.24850238417628</v>
      </c>
      <c r="M6" s="8">
        <v>0</v>
      </c>
      <c r="N6" s="8">
        <v>0</v>
      </c>
      <c r="O6" s="8">
        <v>2129.8398465557821</v>
      </c>
      <c r="P6" s="8">
        <v>23930.93988425886</v>
      </c>
      <c r="Q6" s="8">
        <v>1628.8359710665368</v>
      </c>
      <c r="R6" s="8">
        <v>24069.848374151497</v>
      </c>
      <c r="S6" s="8">
        <v>729.4403691805885</v>
      </c>
      <c r="T6" s="8">
        <v>6607.7142645597378</v>
      </c>
      <c r="U6" s="8">
        <v>592.41490266802816</v>
      </c>
      <c r="V6" s="8">
        <v>7686.201370194427</v>
      </c>
      <c r="W6" s="8">
        <v>1725.688752895536</v>
      </c>
      <c r="X6" s="8">
        <v>16573.003467622682</v>
      </c>
      <c r="Y6" s="8">
        <v>1725.688752895536</v>
      </c>
      <c r="Z6" s="8">
        <v>16573.003467622682</v>
      </c>
      <c r="AA6" s="8">
        <f t="shared" si="0"/>
        <v>14954.122655864716</v>
      </c>
      <c r="AB6" s="8">
        <f t="shared" si="1"/>
        <v>168537.1663376634</v>
      </c>
      <c r="AC6" s="538"/>
      <c r="AD6" s="538"/>
      <c r="AE6" s="7"/>
      <c r="AF6" s="7"/>
      <c r="AG6" s="7"/>
      <c r="AH6" s="7"/>
      <c r="AI6" s="7"/>
      <c r="AJ6" s="7"/>
      <c r="AK6" s="7"/>
      <c r="AL6" s="7"/>
      <c r="AM6" s="7"/>
      <c r="AN6" s="7"/>
      <c r="BM6" s="12" t="s">
        <v>287</v>
      </c>
      <c r="BN6" s="1">
        <v>4.6767454036789058</v>
      </c>
    </row>
    <row r="7" spans="1:66" x14ac:dyDescent="0.2">
      <c r="A7">
        <v>2020</v>
      </c>
      <c r="B7" s="10" t="s">
        <v>303</v>
      </c>
      <c r="C7" s="8">
        <v>1356.7671728059593</v>
      </c>
      <c r="D7" s="8">
        <v>18961.834916586638</v>
      </c>
      <c r="E7" s="8">
        <v>1754.1022438388409</v>
      </c>
      <c r="F7" s="8">
        <v>19583.839226676355</v>
      </c>
      <c r="G7" s="8">
        <v>1425.1653640323118</v>
      </c>
      <c r="H7" s="8">
        <v>15234.413431103701</v>
      </c>
      <c r="I7" s="8">
        <v>912.22797599761577</v>
      </c>
      <c r="J7" s="8">
        <v>9528.7273040715809</v>
      </c>
      <c r="K7" s="8">
        <v>1.6043123117286971E-2</v>
      </c>
      <c r="L7" s="8">
        <v>0.28755334868474292</v>
      </c>
      <c r="M7" s="8">
        <v>0</v>
      </c>
      <c r="N7" s="8">
        <v>0</v>
      </c>
      <c r="O7" s="8">
        <v>1338.7235888089597</v>
      </c>
      <c r="P7" s="8">
        <v>15041.935560194443</v>
      </c>
      <c r="Q7" s="8">
        <v>188.70836582418332</v>
      </c>
      <c r="R7" s="8">
        <v>2788.6059941001022</v>
      </c>
      <c r="S7" s="8">
        <v>4.9937017996204096</v>
      </c>
      <c r="T7" s="8">
        <v>45.235986392385037</v>
      </c>
      <c r="U7" s="8">
        <v>1370.0529465085633</v>
      </c>
      <c r="V7" s="8">
        <v>17775.553564347138</v>
      </c>
      <c r="W7" s="8">
        <v>2612.190024311506</v>
      </c>
      <c r="X7" s="8">
        <v>25086.699011258275</v>
      </c>
      <c r="Y7" s="8">
        <v>2612.190024311506</v>
      </c>
      <c r="Z7" s="8">
        <v>25086.699011258275</v>
      </c>
      <c r="AA7" s="8">
        <f t="shared" si="0"/>
        <v>13575.137451362185</v>
      </c>
      <c r="AB7" s="8">
        <f t="shared" si="1"/>
        <v>149133.83155933759</v>
      </c>
      <c r="AC7" s="538"/>
      <c r="AD7" s="538"/>
      <c r="AE7" s="7"/>
      <c r="AF7" s="7"/>
      <c r="AG7" s="7"/>
      <c r="AH7" s="7"/>
      <c r="AI7" s="7"/>
      <c r="AJ7" s="7"/>
      <c r="AK7" s="7"/>
      <c r="AL7" s="7"/>
      <c r="AM7" s="7"/>
      <c r="AN7" s="7"/>
      <c r="BM7" s="12" t="s">
        <v>288</v>
      </c>
      <c r="BN7" s="1">
        <v>3.3641681576987224</v>
      </c>
    </row>
    <row r="8" spans="1:66" ht="13.7" hidden="1" customHeight="1" x14ac:dyDescent="0.2">
      <c r="A8">
        <v>2021</v>
      </c>
      <c r="B8" s="10" t="s">
        <v>300</v>
      </c>
      <c r="C8" s="8">
        <v>2229.5113215988013</v>
      </c>
      <c r="D8" s="8">
        <v>65305.974328996977</v>
      </c>
      <c r="E8" s="8">
        <v>2942.0909441196595</v>
      </c>
      <c r="F8" s="8">
        <v>40425.395049064726</v>
      </c>
      <c r="G8" s="8">
        <v>6.9721101406652219E-2</v>
      </c>
      <c r="H8" s="8">
        <v>1.2252852548574054</v>
      </c>
      <c r="I8" s="8">
        <v>523.47897373054457</v>
      </c>
      <c r="J8" s="8">
        <v>11238.283799494624</v>
      </c>
      <c r="K8" s="8">
        <v>180.11712557035619</v>
      </c>
      <c r="L8" s="8">
        <v>4293.0628556612037</v>
      </c>
      <c r="M8" s="8">
        <v>850.06593314706527</v>
      </c>
      <c r="N8" s="8">
        <v>26677.486776908328</v>
      </c>
      <c r="O8" s="8">
        <v>579.62125268378202</v>
      </c>
      <c r="P8" s="8">
        <v>24182.374358019712</v>
      </c>
      <c r="Q8" s="8">
        <v>2058.46858945248</v>
      </c>
      <c r="R8" s="8">
        <v>30971.997621347906</v>
      </c>
      <c r="S8" s="8">
        <v>2292.2466224485142</v>
      </c>
      <c r="T8" s="8">
        <v>38515.206189981676</v>
      </c>
      <c r="U8" s="8">
        <v>2317.6638543501681</v>
      </c>
      <c r="V8" s="8">
        <v>43644.107002919307</v>
      </c>
      <c r="W8" s="8">
        <v>4888.874028913322</v>
      </c>
      <c r="X8" s="8">
        <v>61265.461731307012</v>
      </c>
      <c r="Y8" s="8">
        <v>3436.1901792486747</v>
      </c>
      <c r="Z8" s="8">
        <v>45008.962706099061</v>
      </c>
      <c r="AA8" s="8">
        <f t="shared" si="0"/>
        <v>22298.398546364777</v>
      </c>
      <c r="AB8" s="8">
        <f t="shared" si="1"/>
        <v>391529.53770505544</v>
      </c>
    </row>
    <row r="9" spans="1:66" ht="13.7" hidden="1" customHeight="1" x14ac:dyDescent="0.2">
      <c r="A9">
        <v>2021</v>
      </c>
      <c r="B9" s="10" t="s">
        <v>301</v>
      </c>
      <c r="C9" s="8">
        <v>1052.1830021707417</v>
      </c>
      <c r="D9" s="8">
        <v>30820.133301630492</v>
      </c>
      <c r="E9" s="8">
        <v>4704.1123446975871</v>
      </c>
      <c r="F9" s="8">
        <v>64636.207208232299</v>
      </c>
      <c r="G9" s="8">
        <v>3798.8133851939006</v>
      </c>
      <c r="H9" s="8">
        <v>66760.707058895161</v>
      </c>
      <c r="I9" s="8">
        <v>1802.6072522495972</v>
      </c>
      <c r="J9" s="8">
        <v>38699.189263398905</v>
      </c>
      <c r="K9" s="8">
        <v>1074.0027554624498</v>
      </c>
      <c r="L9" s="8">
        <v>25598.683755102455</v>
      </c>
      <c r="M9" s="8">
        <v>499.5730996728654</v>
      </c>
      <c r="N9" s="8">
        <v>15678.024775422075</v>
      </c>
      <c r="O9" s="8">
        <v>1093.9443651921908</v>
      </c>
      <c r="P9" s="8">
        <v>45640.445451982276</v>
      </c>
      <c r="Q9" s="8">
        <v>3111.4038776046618</v>
      </c>
      <c r="R9" s="8">
        <v>46814.604794069826</v>
      </c>
      <c r="S9" s="8">
        <v>2553.1838613105529</v>
      </c>
      <c r="T9" s="8">
        <v>42899.573674262545</v>
      </c>
      <c r="U9" s="8">
        <v>2540.1703987806368</v>
      </c>
      <c r="V9" s="8">
        <v>47834.144922243031</v>
      </c>
      <c r="W9" s="8">
        <v>1901.9829079192102</v>
      </c>
      <c r="X9" s="8">
        <v>23834.907663723392</v>
      </c>
      <c r="Y9" s="8">
        <v>4550.7706307406188</v>
      </c>
      <c r="Z9" s="8">
        <v>59608.303067730856</v>
      </c>
      <c r="AA9" s="8">
        <f t="shared" si="0"/>
        <v>28682.747880995015</v>
      </c>
      <c r="AB9" s="8">
        <f t="shared" si="1"/>
        <v>508824.92493669334</v>
      </c>
    </row>
    <row r="10" spans="1:66" x14ac:dyDescent="0.2">
      <c r="A10">
        <v>2021</v>
      </c>
      <c r="B10" s="10" t="s">
        <v>302</v>
      </c>
      <c r="C10" s="8">
        <v>820.96797664030157</v>
      </c>
      <c r="D10" s="8">
        <v>24047.473133687876</v>
      </c>
      <c r="E10" s="8">
        <v>1187.8099003999787</v>
      </c>
      <c r="F10" s="8">
        <v>16320.938196296083</v>
      </c>
      <c r="G10" s="8">
        <v>1941.154134661286</v>
      </c>
      <c r="H10" s="8">
        <v>34114.027039438392</v>
      </c>
      <c r="I10" s="8">
        <v>713.10014473999865</v>
      </c>
      <c r="J10" s="8">
        <v>15309.157017209891</v>
      </c>
      <c r="K10" s="8">
        <v>469.06582795506381</v>
      </c>
      <c r="L10" s="8">
        <v>11180.108923441949</v>
      </c>
      <c r="M10" s="8">
        <v>161.70283797627687</v>
      </c>
      <c r="N10" s="8">
        <v>5074.6949779886836</v>
      </c>
      <c r="O10" s="8">
        <v>271.96497540602286</v>
      </c>
      <c r="P10" s="8">
        <v>11346.648897165411</v>
      </c>
      <c r="Q10" s="8">
        <v>909.17649821500231</v>
      </c>
      <c r="R10" s="8">
        <v>13679.592918923438</v>
      </c>
      <c r="S10" s="8">
        <v>487.13048050981416</v>
      </c>
      <c r="T10" s="8">
        <v>8184.9530126995542</v>
      </c>
      <c r="U10" s="8">
        <v>464.43008887308389</v>
      </c>
      <c r="V10" s="8">
        <v>8745.7188651869637</v>
      </c>
      <c r="W10" s="8">
        <v>2198.9832966024969</v>
      </c>
      <c r="X10" s="8">
        <v>27556.80064755708</v>
      </c>
      <c r="Y10" s="8">
        <v>1262.0329305992698</v>
      </c>
      <c r="Z10" s="8">
        <v>16530.747759610731</v>
      </c>
      <c r="AA10" s="8">
        <f t="shared" si="0"/>
        <v>10887.519092578596</v>
      </c>
      <c r="AB10" s="8">
        <f t="shared" si="1"/>
        <v>192090.86138920605</v>
      </c>
      <c r="AC10" s="538"/>
      <c r="AD10" s="538"/>
      <c r="AE10" s="7"/>
      <c r="AF10" s="7"/>
    </row>
    <row r="11" spans="1:66" x14ac:dyDescent="0.2">
      <c r="A11">
        <v>2021</v>
      </c>
      <c r="B11" s="10" t="s">
        <v>303</v>
      </c>
      <c r="C11" s="8">
        <v>1017.0131329625353</v>
      </c>
      <c r="D11" s="8">
        <v>29789.951237330301</v>
      </c>
      <c r="E11" s="8">
        <v>1628.6893905355139</v>
      </c>
      <c r="F11" s="8">
        <v>22378.78205505967</v>
      </c>
      <c r="G11" s="8">
        <v>1341.4319119939844</v>
      </c>
      <c r="H11" s="8">
        <v>23574.451765682858</v>
      </c>
      <c r="I11" s="8">
        <v>1043.9732298234203</v>
      </c>
      <c r="J11" s="8">
        <v>22412.490328350399</v>
      </c>
      <c r="K11" s="8">
        <v>904.97271967181837</v>
      </c>
      <c r="L11" s="8">
        <v>21569.879909571442</v>
      </c>
      <c r="M11" s="8">
        <v>327.59198854813678</v>
      </c>
      <c r="N11" s="8">
        <v>10280.768352120374</v>
      </c>
      <c r="O11" s="8">
        <v>303.83964400457415</v>
      </c>
      <c r="P11" s="8">
        <v>12676.491729910025</v>
      </c>
      <c r="Q11" s="8">
        <v>775.40625491400158</v>
      </c>
      <c r="R11" s="8">
        <v>11666.867692726166</v>
      </c>
      <c r="S11" s="8">
        <v>387.98231010122265</v>
      </c>
      <c r="T11" s="8">
        <v>6519.0274577227074</v>
      </c>
      <c r="U11" s="8">
        <v>378.2154425408429</v>
      </c>
      <c r="V11" s="8">
        <v>7122.2042029202121</v>
      </c>
      <c r="W11" s="8">
        <v>2003.8348869832373</v>
      </c>
      <c r="X11" s="8">
        <v>25111.276923536792</v>
      </c>
      <c r="Y11" s="8">
        <v>1225.8196470813566</v>
      </c>
      <c r="Z11" s="8">
        <v>16056.407795202964</v>
      </c>
      <c r="AA11" s="8">
        <f t="shared" si="0"/>
        <v>11338.770559160645</v>
      </c>
      <c r="AB11" s="8">
        <f>SUM(D11,F11,H11,J11,L11,N11,P11,R11,T11,V11,X11,Z11)</f>
        <v>209158.59945013389</v>
      </c>
      <c r="AC11" s="538"/>
      <c r="AD11" s="538"/>
    </row>
    <row r="12" spans="1:66" hidden="1" x14ac:dyDescent="0.2">
      <c r="A12">
        <v>2022</v>
      </c>
      <c r="B12" s="10" t="s">
        <v>300</v>
      </c>
      <c r="C12" s="8">
        <v>4454.9222047430339</v>
      </c>
      <c r="D12" s="8">
        <v>43965.68504923927</v>
      </c>
      <c r="E12" s="8">
        <v>3860.2449738679902</v>
      </c>
      <c r="F12" s="8">
        <v>42579.952675741588</v>
      </c>
      <c r="G12" s="8">
        <v>3634.6165201926483</v>
      </c>
      <c r="H12" s="8">
        <v>44787.037846537343</v>
      </c>
      <c r="I12" s="8">
        <v>31.532477238725438</v>
      </c>
      <c r="J12" s="8">
        <v>351.97613153803661</v>
      </c>
      <c r="K12" s="8">
        <v>3561.5614008215116</v>
      </c>
      <c r="L12" s="8">
        <v>38150.13156658048</v>
      </c>
      <c r="M12" s="8">
        <v>4261.6192981062741</v>
      </c>
      <c r="N12" s="8">
        <v>43672.568951144167</v>
      </c>
      <c r="O12" s="8">
        <v>2994.198533377486</v>
      </c>
      <c r="P12" s="8">
        <v>26621.18128572253</v>
      </c>
      <c r="Q12" s="8">
        <v>4999.0782662436714</v>
      </c>
      <c r="R12" s="8">
        <v>62710.923457549368</v>
      </c>
      <c r="S12" s="8">
        <v>3498.1691501173536</v>
      </c>
      <c r="T12" s="8">
        <v>35170.8876060646</v>
      </c>
      <c r="U12" s="8">
        <v>2035.5496317627715</v>
      </c>
      <c r="V12" s="8">
        <v>13588.480701422775</v>
      </c>
      <c r="W12" s="8">
        <v>4425.6277326224499</v>
      </c>
      <c r="X12" s="8">
        <v>42430.080965979912</v>
      </c>
      <c r="Y12" s="8">
        <v>4191.7157197439174</v>
      </c>
      <c r="Z12" s="8">
        <v>36855.508056616629</v>
      </c>
      <c r="AA12" s="8">
        <f t="shared" si="0"/>
        <v>41948.835908837835</v>
      </c>
      <c r="AB12" s="8">
        <f t="shared" ref="AB12:AB15" si="2">SUM(D12,F12,H12,J12,L12,N12,P12,R12,T12,V12,X12,Z12)</f>
        <v>430884.41429413675</v>
      </c>
    </row>
    <row r="13" spans="1:66" hidden="1" x14ac:dyDescent="0.2">
      <c r="A13">
        <v>2022</v>
      </c>
      <c r="B13" s="10" t="s">
        <v>301</v>
      </c>
      <c r="C13" s="8">
        <v>6447.4518140020436</v>
      </c>
      <c r="D13" s="8">
        <v>63629.985619672785</v>
      </c>
      <c r="E13" s="8">
        <v>5299.7684473273112</v>
      </c>
      <c r="F13" s="8">
        <v>58458.437536276018</v>
      </c>
      <c r="G13" s="8">
        <v>4863.1868024589412</v>
      </c>
      <c r="H13" s="8">
        <v>59925.917952126874</v>
      </c>
      <c r="I13" s="8">
        <v>5085.0087109199249</v>
      </c>
      <c r="J13" s="8">
        <v>56760.579936572038</v>
      </c>
      <c r="K13" s="8">
        <v>4183.8295914535074</v>
      </c>
      <c r="L13" s="8">
        <v>44815.638817650986</v>
      </c>
      <c r="M13" s="8">
        <v>4892.875872932781</v>
      </c>
      <c r="N13" s="8">
        <v>50141.61143511835</v>
      </c>
      <c r="O13" s="8">
        <v>3888.5498723857459</v>
      </c>
      <c r="P13" s="8">
        <v>34572.787988973141</v>
      </c>
      <c r="Q13" s="8">
        <v>1.3498589046207361</v>
      </c>
      <c r="R13" s="8">
        <v>16.933301288313189</v>
      </c>
      <c r="S13" s="8">
        <v>4040.5129723780697</v>
      </c>
      <c r="T13" s="8">
        <v>40623.658126305229</v>
      </c>
      <c r="U13" s="8">
        <v>4897.7906473846615</v>
      </c>
      <c r="V13" s="8">
        <v>32695.608425897506</v>
      </c>
      <c r="W13" s="8">
        <v>5906.9612872856578</v>
      </c>
      <c r="X13" s="8">
        <v>56632.15724968454</v>
      </c>
      <c r="Y13" s="8">
        <v>7379.2404001452314</v>
      </c>
      <c r="Z13" s="8">
        <v>64881.702911827844</v>
      </c>
      <c r="AA13" s="8">
        <f t="shared" si="0"/>
        <v>56886.526277578501</v>
      </c>
      <c r="AB13" s="8">
        <f t="shared" si="2"/>
        <v>563155.01930139365</v>
      </c>
    </row>
    <row r="14" spans="1:66" x14ac:dyDescent="0.2">
      <c r="A14">
        <v>2022</v>
      </c>
      <c r="B14" s="10" t="s">
        <v>302</v>
      </c>
      <c r="C14" s="8">
        <v>1787.6661983248287</v>
      </c>
      <c r="D14" s="8">
        <v>17642.500909452767</v>
      </c>
      <c r="E14" s="8">
        <v>1524.6652168725877</v>
      </c>
      <c r="F14" s="8">
        <v>16817.630285192401</v>
      </c>
      <c r="G14" s="8">
        <v>1581.5116041828153</v>
      </c>
      <c r="H14" s="8">
        <v>19487.948639907525</v>
      </c>
      <c r="I14" s="8">
        <v>1789.8084243866913</v>
      </c>
      <c r="J14" s="8">
        <v>19978.444466651104</v>
      </c>
      <c r="K14" s="8">
        <v>1282.5419791681159</v>
      </c>
      <c r="L14" s="8">
        <v>13738.116443434083</v>
      </c>
      <c r="M14" s="8">
        <v>342.11662047075163</v>
      </c>
      <c r="N14" s="8">
        <v>3505.9705364767487</v>
      </c>
      <c r="O14" s="8">
        <v>1142.5792450994973</v>
      </c>
      <c r="P14" s="8">
        <v>10158.581295805809</v>
      </c>
      <c r="Q14" s="8">
        <v>2050.2894024687034</v>
      </c>
      <c r="R14" s="8">
        <v>25719.849727548219</v>
      </c>
      <c r="S14" s="8">
        <v>872.53516177902168</v>
      </c>
      <c r="T14" s="8">
        <v>8772.5420899786604</v>
      </c>
      <c r="U14" s="8">
        <v>926.6091299209495</v>
      </c>
      <c r="V14" s="8">
        <v>6185.6562390910967</v>
      </c>
      <c r="W14" s="8">
        <v>0.98215663744909676</v>
      </c>
      <c r="X14" s="8">
        <v>9.4162880761654169</v>
      </c>
      <c r="Y14" s="8">
        <v>0.35866865828207439</v>
      </c>
      <c r="Z14" s="8">
        <v>3.1535811368855056</v>
      </c>
      <c r="AA14" s="8">
        <f t="shared" si="0"/>
        <v>13301.663807969693</v>
      </c>
      <c r="AB14" s="8">
        <f t="shared" si="2"/>
        <v>142019.81050275147</v>
      </c>
      <c r="AC14" s="538"/>
      <c r="AD14" s="538"/>
      <c r="AE14" s="7"/>
      <c r="AF14" s="7"/>
    </row>
    <row r="15" spans="1:66" x14ac:dyDescent="0.2">
      <c r="A15">
        <v>2022</v>
      </c>
      <c r="B15" s="10" t="s">
        <v>303</v>
      </c>
      <c r="C15" s="8">
        <v>1589.5492604393814</v>
      </c>
      <c r="D15" s="8">
        <v>15687.282278537596</v>
      </c>
      <c r="E15" s="8">
        <v>1022.4622795607139</v>
      </c>
      <c r="F15" s="8">
        <v>11278.143167375802</v>
      </c>
      <c r="G15" s="8">
        <v>749.26991937475555</v>
      </c>
      <c r="H15" s="8">
        <v>9232.7705137185931</v>
      </c>
      <c r="I15" s="8">
        <v>1443.5246455779366</v>
      </c>
      <c r="J15" s="8">
        <v>16113.108294147924</v>
      </c>
      <c r="K15" s="8">
        <v>743.43616975580153</v>
      </c>
      <c r="L15" s="8">
        <v>7963.4139344042896</v>
      </c>
      <c r="M15" s="8">
        <v>236.61507645857296</v>
      </c>
      <c r="N15" s="8">
        <v>2424.8032305722827</v>
      </c>
      <c r="O15" s="8">
        <v>1080.0356522788111</v>
      </c>
      <c r="P15" s="8">
        <v>9602.5111808218899</v>
      </c>
      <c r="Q15" s="8">
        <v>1489.55604611954</v>
      </c>
      <c r="R15" s="8">
        <v>18685.731692719048</v>
      </c>
      <c r="S15" s="8">
        <v>494.50830408680724</v>
      </c>
      <c r="T15" s="8">
        <v>4971.8281869586699</v>
      </c>
      <c r="U15" s="8">
        <v>699.76735737802778</v>
      </c>
      <c r="V15" s="8">
        <v>4671.3551381119669</v>
      </c>
      <c r="W15" s="8">
        <v>0.8265415773765169</v>
      </c>
      <c r="X15" s="8">
        <v>7.9243506613361614</v>
      </c>
      <c r="Y15" s="8">
        <v>0.25959033166284928</v>
      </c>
      <c r="Z15" s="8">
        <v>2.2824385525372453</v>
      </c>
      <c r="AA15" s="8">
        <f t="shared" si="0"/>
        <v>9549.8108429393887</v>
      </c>
      <c r="AB15" s="8">
        <f t="shared" si="2"/>
        <v>100641.15440658192</v>
      </c>
      <c r="AC15" s="538"/>
      <c r="AD15" s="538"/>
    </row>
    <row r="18" spans="31:32" x14ac:dyDescent="0.2">
      <c r="AE18" s="540"/>
      <c r="AF18" s="540"/>
    </row>
  </sheetData>
  <mergeCells count="4">
    <mergeCell ref="B1:AB1"/>
    <mergeCell ref="B2:B3"/>
    <mergeCell ref="A2:A3"/>
    <mergeCell ref="AA2:AB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96E2D-D789-4962-8115-ABB14658CE35}">
  <dimension ref="B1:R14"/>
  <sheetViews>
    <sheetView workbookViewId="0">
      <selection activeCell="B1" sqref="B1:B2"/>
    </sheetView>
  </sheetViews>
  <sheetFormatPr defaultColWidth="9.140625" defaultRowHeight="12.75" x14ac:dyDescent="0.2"/>
  <cols>
    <col min="1" max="1" width="9.140625" style="13"/>
    <col min="2" max="2" width="42.85546875" style="13" bestFit="1" customWidth="1"/>
    <col min="3" max="3" width="16.140625" style="13" customWidth="1"/>
    <col min="4" max="4" width="10.42578125" style="13" customWidth="1"/>
    <col min="5" max="5" width="10.5703125" style="13" customWidth="1"/>
    <col min="6" max="7" width="9.5703125" style="13" customWidth="1"/>
    <col min="8" max="8" width="10.85546875" style="23" customWidth="1"/>
    <col min="9" max="10" width="10.85546875" style="15" customWidth="1"/>
    <col min="11" max="11" width="13.28515625" style="13" customWidth="1"/>
    <col min="12" max="12" width="9.42578125" style="13" customWidth="1"/>
    <col min="13" max="13" width="11.140625" style="13" customWidth="1"/>
    <col min="14" max="14" width="13.42578125" style="16" customWidth="1"/>
    <col min="15" max="15" width="9.140625" style="13" customWidth="1"/>
    <col min="16" max="16" width="11" style="13" customWidth="1"/>
    <col min="17" max="17" width="10.85546875" style="13" customWidth="1"/>
    <col min="18" max="16384" width="9.140625" style="13"/>
  </cols>
  <sheetData>
    <row r="1" spans="2:18" s="18" customFormat="1" x14ac:dyDescent="0.2">
      <c r="B1" s="28"/>
      <c r="K1" s="19"/>
      <c r="L1" s="19"/>
      <c r="M1" s="19"/>
      <c r="N1" s="19"/>
    </row>
    <row r="2" spans="2:18" s="18" customFormat="1" x14ac:dyDescent="0.2">
      <c r="B2" s="28"/>
      <c r="K2" s="19"/>
      <c r="L2" s="19"/>
      <c r="M2" s="19"/>
      <c r="N2" s="19"/>
    </row>
    <row r="3" spans="2:18" s="4" customFormat="1" ht="15" customHeight="1" x14ac:dyDescent="0.2">
      <c r="D3" s="5">
        <v>6</v>
      </c>
      <c r="E3" s="5">
        <v>8</v>
      </c>
      <c r="F3" s="5">
        <v>10</v>
      </c>
      <c r="G3" s="5">
        <v>10</v>
      </c>
      <c r="H3" s="5">
        <v>882</v>
      </c>
      <c r="I3" s="5">
        <v>882</v>
      </c>
      <c r="J3" s="5">
        <v>1158</v>
      </c>
      <c r="K3" s="5">
        <v>11</v>
      </c>
      <c r="L3" s="5">
        <v>12</v>
      </c>
      <c r="M3" s="5">
        <v>436</v>
      </c>
      <c r="N3" s="5">
        <v>1008</v>
      </c>
      <c r="O3" s="5">
        <v>197</v>
      </c>
      <c r="P3" s="5">
        <v>314</v>
      </c>
      <c r="Q3" s="5">
        <v>1165</v>
      </c>
    </row>
    <row r="4" spans="2:18" ht="25.5" customHeight="1" x14ac:dyDescent="0.2">
      <c r="B4" s="592" t="s">
        <v>38</v>
      </c>
      <c r="C4" s="592" t="s">
        <v>304</v>
      </c>
      <c r="D4" s="522" t="s">
        <v>48</v>
      </c>
      <c r="E4" s="522" t="s">
        <v>47</v>
      </c>
      <c r="F4" s="522" t="s">
        <v>65</v>
      </c>
      <c r="G4" s="522" t="s">
        <v>305</v>
      </c>
      <c r="H4" s="523" t="s">
        <v>69</v>
      </c>
      <c r="I4" s="523" t="s">
        <v>306</v>
      </c>
      <c r="J4" s="523" t="s">
        <v>292</v>
      </c>
      <c r="K4" s="522" t="s">
        <v>293</v>
      </c>
      <c r="L4" s="522" t="s">
        <v>71</v>
      </c>
      <c r="M4" s="505" t="s">
        <v>183</v>
      </c>
      <c r="N4" s="524" t="s">
        <v>294</v>
      </c>
      <c r="O4" s="522" t="s">
        <v>66</v>
      </c>
      <c r="P4" s="522" t="s">
        <v>295</v>
      </c>
      <c r="Q4" s="522" t="s">
        <v>296</v>
      </c>
      <c r="R4" s="14"/>
    </row>
    <row r="5" spans="2:18" ht="24" customHeight="1" thickBot="1" x14ac:dyDescent="0.25">
      <c r="B5" s="593"/>
      <c r="C5" s="593"/>
      <c r="D5" s="506" t="s">
        <v>307</v>
      </c>
      <c r="E5" s="506" t="s">
        <v>307</v>
      </c>
      <c r="F5" s="506" t="s">
        <v>307</v>
      </c>
      <c r="G5" s="506" t="s">
        <v>307</v>
      </c>
      <c r="H5" s="506" t="s">
        <v>307</v>
      </c>
      <c r="I5" s="506" t="s">
        <v>307</v>
      </c>
      <c r="J5" s="506" t="s">
        <v>307</v>
      </c>
      <c r="K5" s="506" t="s">
        <v>307</v>
      </c>
      <c r="L5" s="506" t="s">
        <v>307</v>
      </c>
      <c r="M5" s="506" t="s">
        <v>307</v>
      </c>
      <c r="N5" s="506" t="s">
        <v>307</v>
      </c>
      <c r="O5" s="506" t="s">
        <v>307</v>
      </c>
      <c r="P5" s="506" t="s">
        <v>307</v>
      </c>
      <c r="Q5" s="506" t="s">
        <v>307</v>
      </c>
      <c r="R5" s="14"/>
    </row>
    <row r="6" spans="2:18" ht="13.5" thickTop="1" x14ac:dyDescent="0.2">
      <c r="B6" s="2" t="s">
        <v>269</v>
      </c>
      <c r="C6" s="9">
        <v>168.53716633766345</v>
      </c>
      <c r="D6" s="528">
        <v>1.5505419303065038</v>
      </c>
      <c r="E6" s="528">
        <v>6.7414866535065379</v>
      </c>
      <c r="F6" s="528">
        <f t="shared" ref="F6:F9" si="0">G6+$J6</f>
        <v>0.64044123208312109</v>
      </c>
      <c r="G6" s="528">
        <v>0.36656833678441797</v>
      </c>
      <c r="H6" s="526">
        <f t="shared" ref="H6:H9" si="1">I6+$J6</f>
        <v>0.54521773310234134</v>
      </c>
      <c r="I6" s="526">
        <v>0.27134483780363816</v>
      </c>
      <c r="J6" s="526">
        <v>0.27387289529870312</v>
      </c>
      <c r="K6" s="528">
        <v>5.1855423767678079</v>
      </c>
      <c r="L6" s="528">
        <v>0.10112229980259807</v>
      </c>
      <c r="M6" s="528">
        <v>1.3061630391168916E-2</v>
      </c>
      <c r="N6" s="527">
        <v>4196.5754418078195</v>
      </c>
      <c r="O6" s="525" t="s">
        <v>144</v>
      </c>
      <c r="P6" s="526">
        <v>4.3019111707688594E-2</v>
      </c>
      <c r="Q6" s="526">
        <v>8.962806505836942E-3</v>
      </c>
    </row>
    <row r="7" spans="2:18" x14ac:dyDescent="0.2">
      <c r="B7" s="2" t="s">
        <v>270</v>
      </c>
      <c r="C7" s="9">
        <v>14.954122655864715</v>
      </c>
      <c r="D7" s="528">
        <v>0.62807315154631804</v>
      </c>
      <c r="E7" s="528">
        <v>0.74770613279323572</v>
      </c>
      <c r="F7" s="528">
        <f t="shared" si="0"/>
        <v>5.6825666092285912E-2</v>
      </c>
      <c r="G7" s="528">
        <v>1.4206416523071478E-2</v>
      </c>
      <c r="H7" s="526">
        <f t="shared" si="1"/>
        <v>5.6825666092285912E-2</v>
      </c>
      <c r="I7" s="526">
        <v>1.4206416523071478E-2</v>
      </c>
      <c r="J7" s="526">
        <v>4.2619249569214437E-2</v>
      </c>
      <c r="K7" s="528">
        <v>4.4862367967594147E-3</v>
      </c>
      <c r="L7" s="528">
        <v>4.1123837303627966E-2</v>
      </c>
      <c r="M7" s="526">
        <v>2.3926596249383546E-2</v>
      </c>
      <c r="N7" s="527">
        <v>909.21065747657462</v>
      </c>
      <c r="O7" s="529">
        <v>3.738530663966179E-6</v>
      </c>
      <c r="P7" s="526">
        <v>1.7136228233808493E-2</v>
      </c>
      <c r="Q7" s="526">
        <v>7.9526024283888561E-4</v>
      </c>
    </row>
    <row r="8" spans="2:18" x14ac:dyDescent="0.2">
      <c r="B8" s="2" t="s">
        <v>271</v>
      </c>
      <c r="C8" s="9">
        <v>149.13383155933758</v>
      </c>
      <c r="D8" s="528">
        <v>1.3720312503459056</v>
      </c>
      <c r="E8" s="528">
        <v>5.9653532623735028</v>
      </c>
      <c r="F8" s="528">
        <f t="shared" si="0"/>
        <v>0.56670855992548275</v>
      </c>
      <c r="G8" s="528">
        <v>0.32436608364155922</v>
      </c>
      <c r="H8" s="526">
        <f t="shared" si="1"/>
        <v>0.4824479450944571</v>
      </c>
      <c r="I8" s="526">
        <v>0.24010546881053352</v>
      </c>
      <c r="J8" s="526">
        <v>0.24234247628392355</v>
      </c>
      <c r="K8" s="528">
        <v>4.557744156155473</v>
      </c>
      <c r="L8" s="528">
        <v>8.9480298935602554E-2</v>
      </c>
      <c r="M8" s="528">
        <v>1.1557871945848662E-2</v>
      </c>
      <c r="N8" s="527">
        <v>3713.4324058275056</v>
      </c>
      <c r="O8" s="525" t="s">
        <v>144</v>
      </c>
      <c r="P8" s="526">
        <v>3.8066410505520919E-2</v>
      </c>
      <c r="Q8" s="526">
        <v>7.9309371623255721E-3</v>
      </c>
    </row>
    <row r="9" spans="2:18" x14ac:dyDescent="0.2">
      <c r="B9" s="2" t="s">
        <v>272</v>
      </c>
      <c r="C9" s="9">
        <v>13.575137451362183</v>
      </c>
      <c r="D9" s="528">
        <v>0.57015577295721165</v>
      </c>
      <c r="E9" s="528">
        <v>0.67875687256810924</v>
      </c>
      <c r="F9" s="528">
        <f t="shared" si="0"/>
        <v>5.1585522315176296E-2</v>
      </c>
      <c r="G9" s="528">
        <v>1.2896380578794072E-2</v>
      </c>
      <c r="H9" s="526">
        <f t="shared" si="1"/>
        <v>5.1585522315176296E-2</v>
      </c>
      <c r="I9" s="526">
        <v>1.2896380578794072E-2</v>
      </c>
      <c r="J9" s="526">
        <v>3.8689141736382222E-2</v>
      </c>
      <c r="K9" s="528">
        <v>4.0725412354086542E-3</v>
      </c>
      <c r="L9" s="528">
        <v>3.7331627991246001E-2</v>
      </c>
      <c r="M9" s="526">
        <v>2.1720219922179495E-2</v>
      </c>
      <c r="N9" s="527">
        <v>825.36835704282066</v>
      </c>
      <c r="O9" s="529">
        <v>3.3937843628405458E-6</v>
      </c>
      <c r="P9" s="526">
        <v>1.5556021508264952E-2</v>
      </c>
      <c r="Q9" s="526">
        <v>7.2192580966344089E-4</v>
      </c>
    </row>
    <row r="10" spans="2:18" x14ac:dyDescent="0.2">
      <c r="B10" s="13" t="s">
        <v>308</v>
      </c>
      <c r="C10" s="22">
        <v>2252.2666659239999</v>
      </c>
    </row>
    <row r="11" spans="2:18" ht="17.25" customHeight="1" x14ac:dyDescent="0.2">
      <c r="B11" s="13" t="s">
        <v>309</v>
      </c>
      <c r="C11" s="22">
        <v>7370.5839999999998</v>
      </c>
      <c r="D11" s="17"/>
    </row>
    <row r="14" spans="2:18" x14ac:dyDescent="0.2">
      <c r="D14" s="3"/>
    </row>
  </sheetData>
  <mergeCells count="2">
    <mergeCell ref="B4:B5"/>
    <mergeCell ref="C4:C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E572A-C570-40BC-9151-FEFA97B5F4C6}">
  <dimension ref="B1:R14"/>
  <sheetViews>
    <sheetView workbookViewId="0">
      <selection activeCell="B1" sqref="B1:B2"/>
    </sheetView>
  </sheetViews>
  <sheetFormatPr defaultColWidth="9.140625" defaultRowHeight="12.75" x14ac:dyDescent="0.2"/>
  <cols>
    <col min="1" max="1" width="9.140625" style="13"/>
    <col min="2" max="2" width="42.85546875" style="13" bestFit="1" customWidth="1"/>
    <col min="3" max="3" width="16.140625" style="13" customWidth="1"/>
    <col min="4" max="4" width="10.42578125" style="13" customWidth="1"/>
    <col min="5" max="5" width="10.5703125" style="13" customWidth="1"/>
    <col min="6" max="7" width="9.5703125" style="13" customWidth="1"/>
    <col min="8" max="8" width="10.85546875" style="23" customWidth="1"/>
    <col min="9" max="10" width="10.85546875" style="15" customWidth="1"/>
    <col min="11" max="11" width="13.28515625" style="13" customWidth="1"/>
    <col min="12" max="12" width="9.42578125" style="13" customWidth="1"/>
    <col min="13" max="13" width="11.140625" style="13" customWidth="1"/>
    <col min="14" max="14" width="13.42578125" style="16" customWidth="1"/>
    <col min="15" max="15" width="9.140625" style="13" customWidth="1"/>
    <col min="16" max="16" width="11" style="13" customWidth="1"/>
    <col min="17" max="17" width="10.85546875" style="13" customWidth="1"/>
    <col min="18" max="16384" width="9.140625" style="13"/>
  </cols>
  <sheetData>
    <row r="1" spans="2:18" s="18" customFormat="1" x14ac:dyDescent="0.2">
      <c r="B1" s="28"/>
      <c r="K1" s="19"/>
      <c r="L1" s="19"/>
      <c r="M1" s="19"/>
      <c r="N1" s="19"/>
    </row>
    <row r="2" spans="2:18" s="18" customFormat="1" x14ac:dyDescent="0.2">
      <c r="B2" s="28"/>
      <c r="K2" s="19"/>
      <c r="L2" s="19"/>
      <c r="M2" s="19"/>
      <c r="N2" s="19"/>
    </row>
    <row r="3" spans="2:18" s="4" customFormat="1" ht="15" customHeight="1" x14ac:dyDescent="0.2">
      <c r="D3" s="5">
        <v>6</v>
      </c>
      <c r="E3" s="5">
        <v>8</v>
      </c>
      <c r="F3" s="5">
        <v>10</v>
      </c>
      <c r="G3" s="5">
        <v>10</v>
      </c>
      <c r="H3" s="5">
        <v>882</v>
      </c>
      <c r="I3" s="6">
        <v>882</v>
      </c>
      <c r="J3" s="6">
        <v>1158</v>
      </c>
      <c r="K3" s="5">
        <v>11</v>
      </c>
      <c r="L3" s="5">
        <v>12</v>
      </c>
      <c r="M3" s="5">
        <v>436</v>
      </c>
      <c r="N3" s="5">
        <v>1008</v>
      </c>
      <c r="O3" s="5">
        <v>197</v>
      </c>
      <c r="P3" s="5">
        <v>314</v>
      </c>
      <c r="Q3" s="5">
        <v>1165</v>
      </c>
    </row>
    <row r="4" spans="2:18" ht="25.5" customHeight="1" x14ac:dyDescent="0.2">
      <c r="B4" s="592" t="s">
        <v>38</v>
      </c>
      <c r="C4" s="592" t="s">
        <v>304</v>
      </c>
      <c r="D4" s="522" t="s">
        <v>48</v>
      </c>
      <c r="E4" s="522" t="s">
        <v>47</v>
      </c>
      <c r="F4" s="522" t="s">
        <v>65</v>
      </c>
      <c r="G4" s="522" t="s">
        <v>305</v>
      </c>
      <c r="H4" s="523" t="s">
        <v>69</v>
      </c>
      <c r="I4" s="523" t="s">
        <v>306</v>
      </c>
      <c r="J4" s="523" t="s">
        <v>292</v>
      </c>
      <c r="K4" s="522" t="s">
        <v>293</v>
      </c>
      <c r="L4" s="522" t="s">
        <v>71</v>
      </c>
      <c r="M4" s="505" t="s">
        <v>183</v>
      </c>
      <c r="N4" s="524" t="s">
        <v>294</v>
      </c>
      <c r="O4" s="522" t="s">
        <v>66</v>
      </c>
      <c r="P4" s="522" t="s">
        <v>295</v>
      </c>
      <c r="Q4" s="522" t="s">
        <v>296</v>
      </c>
      <c r="R4" s="14"/>
    </row>
    <row r="5" spans="2:18" ht="24" customHeight="1" thickBot="1" x14ac:dyDescent="0.25">
      <c r="B5" s="593"/>
      <c r="C5" s="593"/>
      <c r="D5" s="506" t="s">
        <v>307</v>
      </c>
      <c r="E5" s="506" t="s">
        <v>307</v>
      </c>
      <c r="F5" s="506" t="s">
        <v>307</v>
      </c>
      <c r="G5" s="506" t="s">
        <v>307</v>
      </c>
      <c r="H5" s="506" t="s">
        <v>307</v>
      </c>
      <c r="I5" s="506" t="s">
        <v>307</v>
      </c>
      <c r="J5" s="506" t="s">
        <v>307</v>
      </c>
      <c r="K5" s="506" t="s">
        <v>307</v>
      </c>
      <c r="L5" s="506" t="s">
        <v>307</v>
      </c>
      <c r="M5" s="506" t="s">
        <v>307</v>
      </c>
      <c r="N5" s="506" t="s">
        <v>307</v>
      </c>
      <c r="O5" s="506" t="s">
        <v>307</v>
      </c>
      <c r="P5" s="506" t="s">
        <v>307</v>
      </c>
      <c r="Q5" s="506" t="s">
        <v>307</v>
      </c>
      <c r="R5" s="14"/>
    </row>
    <row r="6" spans="2:18" ht="13.5" thickTop="1" x14ac:dyDescent="0.2">
      <c r="B6" s="2" t="s">
        <v>269</v>
      </c>
      <c r="C6" s="9">
        <v>192.09086138920605</v>
      </c>
      <c r="D6" s="528">
        <v>1.7672359247806955</v>
      </c>
      <c r="E6" s="528">
        <v>7.6836344555682423</v>
      </c>
      <c r="F6" s="528">
        <f t="shared" ref="F6:F9" si="0">G6+$J6</f>
        <v>0.72994527327898295</v>
      </c>
      <c r="G6" s="528">
        <v>0.41779762352152311</v>
      </c>
      <c r="H6" s="526">
        <f t="shared" ref="H6:H9" si="1">I6+$J6</f>
        <v>0.62141393659408162</v>
      </c>
      <c r="I6" s="526">
        <v>0.30926628683662177</v>
      </c>
      <c r="J6" s="526">
        <v>0.31214764975745984</v>
      </c>
      <c r="K6" s="528">
        <v>6.052475515919709</v>
      </c>
      <c r="L6" s="528">
        <v>0.11525451683352363</v>
      </c>
      <c r="M6" s="528">
        <v>1.488704175766347E-2</v>
      </c>
      <c r="N6" s="527">
        <v>4783.0624485912303</v>
      </c>
      <c r="O6" s="525" t="s">
        <v>144</v>
      </c>
      <c r="P6" s="526">
        <v>4.9031192369594842E-2</v>
      </c>
      <c r="Q6" s="526">
        <v>1.0215392008677979E-2</v>
      </c>
    </row>
    <row r="7" spans="2:18" x14ac:dyDescent="0.2">
      <c r="B7" s="2" t="s">
        <v>270</v>
      </c>
      <c r="C7" s="9">
        <v>10.887519092578597</v>
      </c>
      <c r="D7" s="528">
        <v>0.45727580188830103</v>
      </c>
      <c r="E7" s="528">
        <v>0.54437595462892974</v>
      </c>
      <c r="F7" s="528">
        <f t="shared" si="0"/>
        <v>4.1372572551798666E-2</v>
      </c>
      <c r="G7" s="528">
        <v>1.0343143137949665E-2</v>
      </c>
      <c r="H7" s="526">
        <f t="shared" si="1"/>
        <v>4.1372572551798666E-2</v>
      </c>
      <c r="I7" s="526">
        <v>1.0343143137949665E-2</v>
      </c>
      <c r="J7" s="526">
        <v>3.1029429413849001E-2</v>
      </c>
      <c r="K7" s="528">
        <v>3.2662557277735788E-3</v>
      </c>
      <c r="L7" s="528">
        <v>2.9940677504591139E-2</v>
      </c>
      <c r="M7" s="526">
        <v>1.7420030548125756E-2</v>
      </c>
      <c r="N7" s="527">
        <v>661.96116082877859</v>
      </c>
      <c r="O7" s="529">
        <v>2.7218797731446494E-6</v>
      </c>
      <c r="P7" s="526">
        <v>1.2476225878567665E-2</v>
      </c>
      <c r="Q7" s="526">
        <v>5.7899826534332983E-4</v>
      </c>
    </row>
    <row r="8" spans="2:18" x14ac:dyDescent="0.2">
      <c r="B8" s="2" t="s">
        <v>271</v>
      </c>
      <c r="C8" s="9">
        <v>209.15859945013392</v>
      </c>
      <c r="D8" s="528">
        <v>1.924259114941232</v>
      </c>
      <c r="E8" s="528">
        <v>8.3663439780053555</v>
      </c>
      <c r="F8" s="528">
        <f t="shared" si="0"/>
        <v>0.79480267791050885</v>
      </c>
      <c r="G8" s="528">
        <v>0.45491995380404127</v>
      </c>
      <c r="H8" s="526">
        <f t="shared" si="1"/>
        <v>0.67662806922118324</v>
      </c>
      <c r="I8" s="526">
        <v>0.33674534511471566</v>
      </c>
      <c r="J8" s="526">
        <v>0.33988272410646758</v>
      </c>
      <c r="K8" s="528">
        <v>6.5772569922323196</v>
      </c>
      <c r="L8" s="528">
        <v>0.12549515967008035</v>
      </c>
      <c r="M8" s="528">
        <v>1.6209791457385377E-2</v>
      </c>
      <c r="N8" s="527">
        <v>5208.0491263083341</v>
      </c>
      <c r="O8" s="525" t="s">
        <v>144</v>
      </c>
      <c r="P8" s="526">
        <v>5.3387732509646679E-2</v>
      </c>
      <c r="Q8" s="526">
        <v>1.1123054318758123E-2</v>
      </c>
    </row>
    <row r="9" spans="2:18" x14ac:dyDescent="0.2">
      <c r="B9" s="2" t="s">
        <v>272</v>
      </c>
      <c r="C9" s="9">
        <v>11.338770559160645</v>
      </c>
      <c r="D9" s="528">
        <v>0.47622836348474712</v>
      </c>
      <c r="E9" s="528">
        <v>0.56693852795803235</v>
      </c>
      <c r="F9" s="528">
        <f t="shared" si="0"/>
        <v>4.3087328124810455E-2</v>
      </c>
      <c r="G9" s="528">
        <v>1.0771832031202612E-2</v>
      </c>
      <c r="H9" s="526">
        <f t="shared" si="1"/>
        <v>4.3087328124810455E-2</v>
      </c>
      <c r="I9" s="526">
        <v>1.0771832031202612E-2</v>
      </c>
      <c r="J9" s="526">
        <v>3.2315496093607843E-2</v>
      </c>
      <c r="K9" s="528">
        <v>3.4016311677481938E-3</v>
      </c>
      <c r="L9" s="528">
        <v>3.1181619037691774E-2</v>
      </c>
      <c r="M9" s="526">
        <v>1.8142032894657031E-2</v>
      </c>
      <c r="N9" s="527">
        <v>689.39724999696716</v>
      </c>
      <c r="O9" s="529">
        <v>2.8346926397901613E-6</v>
      </c>
      <c r="P9" s="526">
        <v>1.2993323959153365E-2</v>
      </c>
      <c r="Q9" s="526">
        <v>6.029958183361631E-4</v>
      </c>
    </row>
    <row r="10" spans="2:18" x14ac:dyDescent="0.2">
      <c r="B10" s="13" t="s">
        <v>308</v>
      </c>
      <c r="C10" s="22">
        <v>1285.8889743305863</v>
      </c>
    </row>
    <row r="11" spans="2:18" ht="17.25" customHeight="1" x14ac:dyDescent="0.2">
      <c r="B11" s="13" t="s">
        <v>309</v>
      </c>
      <c r="C11" s="22">
        <v>12145.445678510505</v>
      </c>
      <c r="D11" s="17"/>
    </row>
    <row r="14" spans="2:18" x14ac:dyDescent="0.2">
      <c r="D14" s="3"/>
    </row>
  </sheetData>
  <mergeCells count="2">
    <mergeCell ref="B4:B5"/>
    <mergeCell ref="C4:C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CE47A-3430-4EED-B229-9839B88C5705}">
  <dimension ref="B1:R14"/>
  <sheetViews>
    <sheetView workbookViewId="0">
      <selection activeCell="I21" sqref="I21"/>
    </sheetView>
  </sheetViews>
  <sheetFormatPr defaultColWidth="9.140625" defaultRowHeight="12.75" x14ac:dyDescent="0.2"/>
  <cols>
    <col min="1" max="1" width="9.140625" style="13"/>
    <col min="2" max="2" width="42.85546875" style="13" bestFit="1" customWidth="1"/>
    <col min="3" max="3" width="16.140625" style="13" customWidth="1"/>
    <col min="4" max="4" width="10.42578125" style="13" customWidth="1"/>
    <col min="5" max="5" width="10.5703125" style="13" customWidth="1"/>
    <col min="6" max="7" width="9.5703125" style="13" customWidth="1"/>
    <col min="8" max="8" width="10.85546875" style="23" customWidth="1"/>
    <col min="9" max="10" width="10.85546875" style="15" customWidth="1"/>
    <col min="11" max="11" width="13.28515625" style="13" customWidth="1"/>
    <col min="12" max="12" width="9.42578125" style="13" customWidth="1"/>
    <col min="13" max="13" width="11.140625" style="13" customWidth="1"/>
    <col min="14" max="14" width="13.42578125" style="16" customWidth="1"/>
    <col min="15" max="15" width="9.140625" style="13" customWidth="1"/>
    <col min="16" max="16" width="11" style="13" customWidth="1"/>
    <col min="17" max="17" width="10.85546875" style="13" customWidth="1"/>
    <col min="18" max="16384" width="9.140625" style="13"/>
  </cols>
  <sheetData>
    <row r="1" spans="2:18" s="18" customFormat="1" x14ac:dyDescent="0.2">
      <c r="B1" s="28"/>
      <c r="K1" s="19"/>
      <c r="L1" s="19"/>
      <c r="M1" s="19"/>
      <c r="N1" s="19"/>
    </row>
    <row r="2" spans="2:18" s="18" customFormat="1" x14ac:dyDescent="0.2">
      <c r="B2" s="28"/>
      <c r="K2" s="19"/>
      <c r="L2" s="19"/>
      <c r="M2" s="19"/>
      <c r="N2" s="19"/>
    </row>
    <row r="3" spans="2:18" s="4" customFormat="1" ht="15" customHeight="1" x14ac:dyDescent="0.2">
      <c r="D3" s="5">
        <v>6</v>
      </c>
      <c r="E3" s="5">
        <v>8</v>
      </c>
      <c r="F3" s="5">
        <v>10</v>
      </c>
      <c r="G3" s="5">
        <v>10</v>
      </c>
      <c r="H3" s="5">
        <v>882</v>
      </c>
      <c r="I3" s="6">
        <v>882</v>
      </c>
      <c r="J3" s="6">
        <v>1158</v>
      </c>
      <c r="K3" s="5">
        <v>11</v>
      </c>
      <c r="L3" s="5">
        <v>12</v>
      </c>
      <c r="M3" s="5">
        <v>436</v>
      </c>
      <c r="N3" s="5">
        <v>1008</v>
      </c>
      <c r="O3" s="5">
        <v>197</v>
      </c>
      <c r="P3" s="5">
        <v>314</v>
      </c>
      <c r="Q3" s="5">
        <v>1165</v>
      </c>
    </row>
    <row r="4" spans="2:18" ht="25.5" customHeight="1" x14ac:dyDescent="0.2">
      <c r="B4" s="592" t="s">
        <v>38</v>
      </c>
      <c r="C4" s="592" t="s">
        <v>304</v>
      </c>
      <c r="D4" s="522" t="s">
        <v>48</v>
      </c>
      <c r="E4" s="522" t="s">
        <v>47</v>
      </c>
      <c r="F4" s="522" t="s">
        <v>65</v>
      </c>
      <c r="G4" s="522" t="s">
        <v>305</v>
      </c>
      <c r="H4" s="523" t="s">
        <v>69</v>
      </c>
      <c r="I4" s="523" t="s">
        <v>306</v>
      </c>
      <c r="J4" s="523" t="s">
        <v>292</v>
      </c>
      <c r="K4" s="522" t="s">
        <v>293</v>
      </c>
      <c r="L4" s="522" t="s">
        <v>71</v>
      </c>
      <c r="M4" s="505" t="s">
        <v>183</v>
      </c>
      <c r="N4" s="524" t="s">
        <v>294</v>
      </c>
      <c r="O4" s="522" t="s">
        <v>66</v>
      </c>
      <c r="P4" s="522" t="s">
        <v>295</v>
      </c>
      <c r="Q4" s="522" t="s">
        <v>296</v>
      </c>
      <c r="R4" s="14"/>
    </row>
    <row r="5" spans="2:18" ht="24" customHeight="1" thickBot="1" x14ac:dyDescent="0.25">
      <c r="B5" s="593"/>
      <c r="C5" s="593"/>
      <c r="D5" s="506" t="s">
        <v>307</v>
      </c>
      <c r="E5" s="506" t="s">
        <v>307</v>
      </c>
      <c r="F5" s="506" t="s">
        <v>307</v>
      </c>
      <c r="G5" s="506" t="s">
        <v>307</v>
      </c>
      <c r="H5" s="506" t="s">
        <v>307</v>
      </c>
      <c r="I5" s="506" t="s">
        <v>307</v>
      </c>
      <c r="J5" s="506" t="s">
        <v>307</v>
      </c>
      <c r="K5" s="506" t="s">
        <v>307</v>
      </c>
      <c r="L5" s="506" t="s">
        <v>307</v>
      </c>
      <c r="M5" s="506" t="s">
        <v>307</v>
      </c>
      <c r="N5" s="506" t="s">
        <v>307</v>
      </c>
      <c r="O5" s="506" t="s">
        <v>307</v>
      </c>
      <c r="P5" s="506" t="s">
        <v>307</v>
      </c>
      <c r="Q5" s="506" t="s">
        <v>307</v>
      </c>
      <c r="R5" s="14"/>
    </row>
    <row r="6" spans="2:18" ht="13.5" thickTop="1" x14ac:dyDescent="0.2">
      <c r="B6" s="2" t="s">
        <v>269</v>
      </c>
      <c r="C6" s="9">
        <v>142.01981050275148</v>
      </c>
      <c r="D6" s="528">
        <v>1.3065822566253134</v>
      </c>
      <c r="E6" s="528">
        <v>5.6807924201100599</v>
      </c>
      <c r="F6" s="528">
        <f t="shared" ref="F6:F9" si="0">G6+$J6</f>
        <v>0.53967527991045561</v>
      </c>
      <c r="G6" s="528">
        <v>0.30889308784348446</v>
      </c>
      <c r="H6" s="526">
        <f t="shared" ref="H6:H9" si="1">I6+$J6</f>
        <v>0.45943408697640109</v>
      </c>
      <c r="I6" s="526">
        <v>0.22865189490942989</v>
      </c>
      <c r="J6" s="526">
        <v>0.23078219206697118</v>
      </c>
      <c r="K6" s="528">
        <v>5.3960653023770311</v>
      </c>
      <c r="L6" s="528">
        <v>8.5211886301650899E-2</v>
      </c>
      <c r="M6" s="528">
        <v>1.100653531396324E-2</v>
      </c>
      <c r="N6" s="527">
        <v>3536.2932815185118</v>
      </c>
      <c r="O6" s="525" t="s">
        <v>144</v>
      </c>
      <c r="P6" s="526">
        <v>3.6250556630827317E-2</v>
      </c>
      <c r="Q6" s="526">
        <v>7.5526135225363238E-3</v>
      </c>
    </row>
    <row r="7" spans="2:18" x14ac:dyDescent="0.2">
      <c r="B7" s="2" t="s">
        <v>270</v>
      </c>
      <c r="C7" s="9">
        <v>13.301663807969692</v>
      </c>
      <c r="D7" s="528">
        <v>0.55866987993472705</v>
      </c>
      <c r="E7" s="528">
        <v>0.66508319039848462</v>
      </c>
      <c r="F7" s="528">
        <f t="shared" si="0"/>
        <v>5.054632247028483E-2</v>
      </c>
      <c r="G7" s="528">
        <v>1.2636580617571207E-2</v>
      </c>
      <c r="H7" s="526">
        <f t="shared" si="1"/>
        <v>5.054632247028483E-2</v>
      </c>
      <c r="I7" s="526">
        <v>1.2636580617571207E-2</v>
      </c>
      <c r="J7" s="526">
        <v>3.7909741852713626E-2</v>
      </c>
      <c r="K7" s="528">
        <v>3.9904991423909079E-3</v>
      </c>
      <c r="L7" s="528">
        <v>3.6579575471916655E-2</v>
      </c>
      <c r="M7" s="526">
        <v>2.1282662092751509E-2</v>
      </c>
      <c r="N7" s="527">
        <v>808.74115952455725</v>
      </c>
      <c r="O7" s="529">
        <v>3.3254159519924231E-6</v>
      </c>
      <c r="P7" s="526">
        <v>1.524264259082863E-2</v>
      </c>
      <c r="Q7" s="526">
        <v>7.0738248130782823E-4</v>
      </c>
    </row>
    <row r="8" spans="2:18" x14ac:dyDescent="0.2">
      <c r="B8" s="2" t="s">
        <v>271</v>
      </c>
      <c r="C8" s="9">
        <v>100.64115440658193</v>
      </c>
      <c r="D8" s="528">
        <v>0.92589862054055372</v>
      </c>
      <c r="E8" s="528">
        <v>4.0256461762632769</v>
      </c>
      <c r="F8" s="528">
        <f t="shared" si="0"/>
        <v>0.38243638674501135</v>
      </c>
      <c r="G8" s="528">
        <v>0.21889451083431569</v>
      </c>
      <c r="H8" s="526">
        <f t="shared" si="1"/>
        <v>0.32557413450529255</v>
      </c>
      <c r="I8" s="526">
        <v>0.16203225859459691</v>
      </c>
      <c r="J8" s="526">
        <v>0.16354187591069563</v>
      </c>
      <c r="K8" s="528">
        <v>3.8310173117246933</v>
      </c>
      <c r="L8" s="528">
        <v>6.0384692643949162E-2</v>
      </c>
      <c r="M8" s="528">
        <v>7.7996894665100999E-3</v>
      </c>
      <c r="N8" s="527">
        <v>2505.9647447238899</v>
      </c>
      <c r="O8" s="525" t="s">
        <v>144</v>
      </c>
      <c r="P8" s="526">
        <v>2.5688654662280038E-2</v>
      </c>
      <c r="Q8" s="526">
        <v>5.3520965913420272E-3</v>
      </c>
    </row>
    <row r="9" spans="2:18" x14ac:dyDescent="0.2">
      <c r="B9" s="2" t="s">
        <v>272</v>
      </c>
      <c r="C9" s="9">
        <v>9.5498108429393866</v>
      </c>
      <c r="D9" s="528">
        <v>0.40109205540345427</v>
      </c>
      <c r="E9" s="528">
        <v>0.47749054214696934</v>
      </c>
      <c r="F9" s="528">
        <f t="shared" si="0"/>
        <v>3.6289281203169668E-2</v>
      </c>
      <c r="G9" s="528">
        <v>9.0723203007924171E-3</v>
      </c>
      <c r="H9" s="526">
        <f t="shared" si="1"/>
        <v>3.6289281203169668E-2</v>
      </c>
      <c r="I9" s="526">
        <v>9.0723203007924171E-3</v>
      </c>
      <c r="J9" s="526">
        <v>2.7216960902377251E-2</v>
      </c>
      <c r="K9" s="528">
        <v>2.8649432528818158E-3</v>
      </c>
      <c r="L9" s="528">
        <v>2.6261979818083311E-2</v>
      </c>
      <c r="M9" s="526">
        <v>1.527969734870302E-2</v>
      </c>
      <c r="N9" s="527">
        <v>580.62849925071464</v>
      </c>
      <c r="O9" s="529">
        <v>2.387452710734847E-6</v>
      </c>
      <c r="P9" s="526">
        <v>1.0943319241141102E-2</v>
      </c>
      <c r="Q9" s="526">
        <v>5.0785894062751655E-4</v>
      </c>
    </row>
    <row r="10" spans="2:18" x14ac:dyDescent="0.2">
      <c r="B10" s="13" t="s">
        <v>308</v>
      </c>
      <c r="C10" s="22">
        <v>1091.5140410687548</v>
      </c>
    </row>
    <row r="11" spans="2:18" ht="17.25" customHeight="1" x14ac:dyDescent="0.2">
      <c r="B11" s="13" t="s">
        <v>309</v>
      </c>
      <c r="C11" s="22">
        <v>10301.93525839448</v>
      </c>
      <c r="D11" s="17"/>
    </row>
    <row r="14" spans="2:18" x14ac:dyDescent="0.2">
      <c r="D14" s="3"/>
    </row>
  </sheetData>
  <mergeCells count="2">
    <mergeCell ref="B4:B5"/>
    <mergeCell ref="C4:C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7EACA-3C5B-4E9B-8458-416CD00CF1F3}">
  <sheetPr>
    <tabColor rgb="FF92D050"/>
  </sheetPr>
  <dimension ref="B1:L168"/>
  <sheetViews>
    <sheetView workbookViewId="0">
      <selection activeCell="G27" sqref="G27"/>
    </sheetView>
  </sheetViews>
  <sheetFormatPr defaultColWidth="9.140625" defaultRowHeight="12.75" x14ac:dyDescent="0.2"/>
  <cols>
    <col min="1" max="1" width="2.42578125" style="401" customWidth="1"/>
    <col min="2" max="2" width="39.85546875" style="401" customWidth="1"/>
    <col min="3" max="3" width="11.7109375" style="401" customWidth="1"/>
    <col min="4" max="4" width="9.85546875" style="401" bestFit="1" customWidth="1"/>
    <col min="5" max="5" width="8.7109375" style="401" bestFit="1" customWidth="1"/>
    <col min="6" max="6" width="10.28515625" style="401" bestFit="1" customWidth="1"/>
    <col min="7" max="7" width="59.42578125" style="402" bestFit="1" customWidth="1"/>
    <col min="8" max="8" width="10.42578125" style="403" bestFit="1" customWidth="1"/>
    <col min="9" max="11" width="9.140625" style="403"/>
    <col min="12" max="16384" width="9.140625" style="401"/>
  </cols>
  <sheetData>
    <row r="1" spans="2:11" ht="11.25" customHeight="1" x14ac:dyDescent="0.2"/>
    <row r="2" spans="2:11" s="406" customFormat="1" x14ac:dyDescent="0.2">
      <c r="B2" s="404" t="s">
        <v>0</v>
      </c>
      <c r="C2" s="405" t="s">
        <v>1</v>
      </c>
      <c r="F2" s="404"/>
      <c r="G2" s="407"/>
      <c r="H2" s="408"/>
      <c r="I2" s="408"/>
      <c r="J2" s="408"/>
      <c r="K2" s="408"/>
    </row>
    <row r="3" spans="2:11" s="406" customFormat="1" x14ac:dyDescent="0.2">
      <c r="B3" s="404" t="s">
        <v>3</v>
      </c>
      <c r="C3" s="405" t="s">
        <v>4</v>
      </c>
      <c r="F3" s="404"/>
      <c r="G3" s="407"/>
      <c r="H3" s="408"/>
      <c r="I3" s="408"/>
      <c r="J3" s="408"/>
      <c r="K3" s="408"/>
    </row>
    <row r="4" spans="2:11" s="406" customFormat="1" x14ac:dyDescent="0.2">
      <c r="B4" s="404" t="s">
        <v>5</v>
      </c>
      <c r="C4" s="405" t="s">
        <v>310</v>
      </c>
      <c r="F4" s="404"/>
      <c r="G4" s="407"/>
      <c r="H4" s="408"/>
      <c r="I4" s="408"/>
      <c r="J4" s="408"/>
      <c r="K4" s="408"/>
    </row>
    <row r="5" spans="2:11" s="406" customFormat="1" x14ac:dyDescent="0.2">
      <c r="B5" s="404" t="s">
        <v>311</v>
      </c>
      <c r="C5" s="409">
        <v>44351</v>
      </c>
      <c r="F5" s="404"/>
      <c r="G5" s="407"/>
      <c r="H5" s="408"/>
      <c r="I5" s="408"/>
      <c r="J5" s="408"/>
      <c r="K5" s="408"/>
    </row>
    <row r="6" spans="2:11" s="406" customFormat="1" x14ac:dyDescent="0.2">
      <c r="B6" s="404"/>
      <c r="C6" s="404"/>
      <c r="D6" s="404"/>
      <c r="F6" s="404"/>
      <c r="G6" s="407"/>
      <c r="H6" s="408"/>
      <c r="I6" s="408"/>
      <c r="J6" s="408"/>
      <c r="K6" s="408"/>
    </row>
    <row r="7" spans="2:11" s="410" customFormat="1" x14ac:dyDescent="0.2">
      <c r="B7" s="368" t="s">
        <v>312</v>
      </c>
      <c r="C7" s="368"/>
      <c r="D7" s="368"/>
      <c r="F7" s="368"/>
      <c r="G7" s="411"/>
      <c r="H7" s="412"/>
      <c r="I7" s="412"/>
      <c r="J7" s="412"/>
      <c r="K7" s="412"/>
    </row>
    <row r="8" spans="2:11" s="415" customFormat="1" x14ac:dyDescent="0.2">
      <c r="B8" s="413"/>
      <c r="C8" s="414"/>
      <c r="G8" s="416"/>
      <c r="H8" s="403"/>
      <c r="I8" s="403"/>
      <c r="J8" s="403"/>
      <c r="K8" s="403"/>
    </row>
    <row r="9" spans="2:11" s="415" customFormat="1" x14ac:dyDescent="0.2">
      <c r="B9" s="417" t="s">
        <v>117</v>
      </c>
      <c r="C9" s="418" t="s">
        <v>313</v>
      </c>
      <c r="D9" s="417"/>
      <c r="G9" s="416"/>
      <c r="H9" s="403"/>
      <c r="I9" s="403"/>
      <c r="J9" s="403"/>
      <c r="K9" s="403"/>
    </row>
    <row r="10" spans="2:11" s="415" customFormat="1" x14ac:dyDescent="0.2">
      <c r="B10" s="417" t="s">
        <v>118</v>
      </c>
      <c r="C10" s="419" t="s">
        <v>23</v>
      </c>
      <c r="D10" s="417"/>
      <c r="G10" s="416"/>
      <c r="H10" s="403"/>
      <c r="I10" s="403"/>
      <c r="J10" s="403"/>
      <c r="K10" s="403"/>
    </row>
    <row r="11" spans="2:11" s="415" customFormat="1" x14ac:dyDescent="0.2">
      <c r="B11" s="417" t="s">
        <v>121</v>
      </c>
      <c r="C11" s="419" t="s">
        <v>314</v>
      </c>
      <c r="D11" s="417"/>
      <c r="G11" s="416"/>
      <c r="H11" s="403"/>
      <c r="I11" s="403"/>
      <c r="J11" s="403"/>
      <c r="K11" s="403"/>
    </row>
    <row r="12" spans="2:11" s="415" customFormat="1" x14ac:dyDescent="0.2">
      <c r="B12" s="417" t="s">
        <v>122</v>
      </c>
      <c r="C12" s="420">
        <v>8760</v>
      </c>
      <c r="D12" s="416" t="s">
        <v>123</v>
      </c>
      <c r="E12" s="421"/>
      <c r="G12" s="418"/>
      <c r="H12" s="403"/>
      <c r="I12" s="403"/>
      <c r="J12" s="403"/>
      <c r="K12" s="403"/>
    </row>
    <row r="13" spans="2:11" s="415" customFormat="1" x14ac:dyDescent="0.2">
      <c r="B13" s="417" t="s">
        <v>10</v>
      </c>
      <c r="C13" s="422" t="s">
        <v>16</v>
      </c>
      <c r="D13" s="416"/>
      <c r="E13" s="421"/>
      <c r="G13" s="418"/>
      <c r="H13" s="403"/>
      <c r="I13" s="403"/>
      <c r="J13" s="403"/>
      <c r="K13" s="403"/>
    </row>
    <row r="14" spans="2:11" s="415" customFormat="1" x14ac:dyDescent="0.2">
      <c r="B14" s="417" t="s">
        <v>129</v>
      </c>
      <c r="C14" s="423">
        <v>41.6</v>
      </c>
      <c r="D14" s="416" t="s">
        <v>17</v>
      </c>
      <c r="E14" s="421"/>
      <c r="G14" s="418"/>
      <c r="H14" s="403"/>
      <c r="I14" s="403"/>
      <c r="J14" s="403"/>
      <c r="K14" s="403"/>
    </row>
    <row r="15" spans="2:11" s="415" customFormat="1" x14ac:dyDescent="0.2">
      <c r="B15" s="417" t="s">
        <v>95</v>
      </c>
      <c r="C15" s="424">
        <v>340.92618579848437</v>
      </c>
      <c r="D15" s="416" t="s">
        <v>133</v>
      </c>
      <c r="E15" s="421"/>
      <c r="G15" s="418"/>
      <c r="H15" s="403"/>
      <c r="I15" s="426"/>
      <c r="J15" s="403"/>
      <c r="K15" s="403"/>
    </row>
    <row r="16" spans="2:11" s="415" customFormat="1" x14ac:dyDescent="0.2">
      <c r="B16" s="417" t="s">
        <v>97</v>
      </c>
      <c r="C16" s="424">
        <v>712.16728551885876</v>
      </c>
      <c r="D16" s="416" t="s">
        <v>133</v>
      </c>
      <c r="E16" s="421"/>
      <c r="G16" s="418"/>
      <c r="H16" s="403"/>
      <c r="I16" s="426"/>
      <c r="J16" s="403"/>
      <c r="K16" s="403"/>
    </row>
    <row r="17" spans="2:12" s="415" customFormat="1" x14ac:dyDescent="0.2">
      <c r="B17" s="417"/>
      <c r="C17" s="424"/>
      <c r="D17" s="416"/>
      <c r="G17" s="418"/>
      <c r="H17" s="403"/>
      <c r="I17" s="403"/>
      <c r="J17" s="403"/>
      <c r="K17" s="403"/>
    </row>
    <row r="18" spans="2:12" s="410" customFormat="1" x14ac:dyDescent="0.2">
      <c r="B18" s="427" t="s">
        <v>135</v>
      </c>
      <c r="C18" s="427"/>
      <c r="D18" s="427"/>
      <c r="E18" s="428"/>
      <c r="F18" s="427"/>
      <c r="G18" s="429"/>
      <c r="I18" s="412"/>
      <c r="J18" s="412"/>
      <c r="K18" s="412"/>
    </row>
    <row r="19" spans="2:12" s="415" customFormat="1" ht="6" customHeight="1" thickBot="1" x14ac:dyDescent="0.25">
      <c r="D19" s="414"/>
      <c r="E19" s="430"/>
      <c r="F19" s="430"/>
      <c r="G19" s="416"/>
      <c r="I19" s="403"/>
      <c r="J19" s="403"/>
      <c r="K19" s="403"/>
    </row>
    <row r="20" spans="2:12" s="415" customFormat="1" ht="6" customHeight="1" x14ac:dyDescent="0.2">
      <c r="B20" s="431"/>
      <c r="C20" s="432"/>
      <c r="D20" s="433"/>
      <c r="E20" s="434"/>
      <c r="F20" s="434"/>
      <c r="G20" s="435"/>
      <c r="I20" s="403"/>
      <c r="J20" s="403"/>
      <c r="K20" s="403"/>
    </row>
    <row r="21" spans="2:12" s="439" customFormat="1" ht="38.25" x14ac:dyDescent="0.2">
      <c r="B21" s="436" t="s">
        <v>136</v>
      </c>
      <c r="C21" s="437" t="s">
        <v>137</v>
      </c>
      <c r="D21" s="437" t="s">
        <v>138</v>
      </c>
      <c r="E21" s="437" t="s">
        <v>139</v>
      </c>
      <c r="F21" s="437" t="s">
        <v>140</v>
      </c>
      <c r="G21" s="438" t="s">
        <v>141</v>
      </c>
      <c r="I21" s="594"/>
      <c r="J21" s="594"/>
      <c r="K21" s="594"/>
    </row>
    <row r="22" spans="2:12" s="415" customFormat="1" ht="6" customHeight="1" thickBot="1" x14ac:dyDescent="0.25">
      <c r="B22" s="441"/>
      <c r="C22" s="442"/>
      <c r="D22" s="443"/>
      <c r="E22" s="444"/>
      <c r="F22" s="444"/>
      <c r="G22" s="445"/>
      <c r="I22" s="403"/>
      <c r="J22" s="403"/>
      <c r="K22" s="403"/>
    </row>
    <row r="23" spans="2:12" s="415" customFormat="1" ht="6" customHeight="1" x14ac:dyDescent="0.2">
      <c r="B23" s="431"/>
      <c r="C23" s="432"/>
      <c r="D23" s="433"/>
      <c r="E23" s="434"/>
      <c r="F23" s="434"/>
      <c r="G23" s="435"/>
      <c r="I23" s="403"/>
      <c r="J23" s="403"/>
      <c r="K23" s="403"/>
    </row>
    <row r="24" spans="2:12" s="415" customFormat="1" x14ac:dyDescent="0.2">
      <c r="B24" s="446" t="s">
        <v>142</v>
      </c>
      <c r="C24" s="447"/>
      <c r="D24" s="448"/>
      <c r="E24" s="430"/>
      <c r="F24" s="430"/>
      <c r="G24" s="449"/>
      <c r="I24" s="450"/>
      <c r="J24" s="450"/>
      <c r="K24" s="450"/>
    </row>
    <row r="25" spans="2:12" s="415" customFormat="1" x14ac:dyDescent="0.2">
      <c r="B25" s="451" t="s">
        <v>143</v>
      </c>
      <c r="C25" s="452">
        <f t="shared" ref="C25:C32" si="0">D25*2000/$C$12</f>
        <v>0.83105022831050224</v>
      </c>
      <c r="D25" s="453">
        <v>3.64</v>
      </c>
      <c r="E25" s="454" t="s">
        <v>144</v>
      </c>
      <c r="F25" s="455" t="s">
        <v>144</v>
      </c>
      <c r="G25" s="456" t="s">
        <v>315</v>
      </c>
      <c r="I25" s="457"/>
      <c r="J25" s="457"/>
      <c r="K25" s="457"/>
    </row>
    <row r="26" spans="2:12" s="415" customFormat="1" ht="15.75" x14ac:dyDescent="0.2">
      <c r="B26" s="451" t="s">
        <v>316</v>
      </c>
      <c r="C26" s="452">
        <f t="shared" si="0"/>
        <v>0.83105022831050224</v>
      </c>
      <c r="D26" s="453">
        <v>3.64</v>
      </c>
      <c r="E26" s="454" t="s">
        <v>144</v>
      </c>
      <c r="F26" s="455" t="s">
        <v>144</v>
      </c>
      <c r="G26" s="456" t="s">
        <v>315</v>
      </c>
      <c r="I26" s="403"/>
      <c r="J26" s="403"/>
      <c r="K26" s="403"/>
    </row>
    <row r="27" spans="2:12" s="415" customFormat="1" ht="15.75" x14ac:dyDescent="0.2">
      <c r="B27" s="451" t="s">
        <v>317</v>
      </c>
      <c r="C27" s="452">
        <f t="shared" si="0"/>
        <v>0.83105022831050224</v>
      </c>
      <c r="D27" s="453">
        <f>D26</f>
        <v>3.64</v>
      </c>
      <c r="E27" s="454" t="s">
        <v>144</v>
      </c>
      <c r="F27" s="455" t="s">
        <v>144</v>
      </c>
      <c r="G27" s="456" t="s">
        <v>318</v>
      </c>
      <c r="I27" s="403"/>
      <c r="J27" s="403"/>
      <c r="K27" s="403"/>
    </row>
    <row r="28" spans="2:12" s="461" customFormat="1" ht="15" customHeight="1" x14ac:dyDescent="0.2">
      <c r="B28" s="451" t="s">
        <v>148</v>
      </c>
      <c r="C28" s="452">
        <f t="shared" si="0"/>
        <v>0.26421731483290989</v>
      </c>
      <c r="D28" s="453">
        <f>MAX(D92,D150)</f>
        <v>1.1572718389681453</v>
      </c>
      <c r="E28" s="458">
        <f>MAX(E92,E150)</f>
        <v>6.5549999999999997</v>
      </c>
      <c r="F28" s="459" t="s">
        <v>203</v>
      </c>
      <c r="G28" s="460" t="s">
        <v>319</v>
      </c>
      <c r="I28" s="457"/>
      <c r="J28" s="457"/>
      <c r="K28" s="457"/>
      <c r="L28" s="457"/>
    </row>
    <row r="29" spans="2:12" s="415" customFormat="1" ht="15.75" x14ac:dyDescent="0.2">
      <c r="B29" s="451" t="s">
        <v>149</v>
      </c>
      <c r="C29" s="452">
        <f t="shared" si="0"/>
        <v>6.6552511415525117</v>
      </c>
      <c r="D29" s="453">
        <v>29.15</v>
      </c>
      <c r="E29" s="454" t="s">
        <v>144</v>
      </c>
      <c r="F29" s="455" t="s">
        <v>144</v>
      </c>
      <c r="G29" s="456" t="s">
        <v>315</v>
      </c>
      <c r="I29" s="403"/>
      <c r="J29" s="403"/>
      <c r="K29" s="403"/>
    </row>
    <row r="30" spans="2:12" s="415" customFormat="1" x14ac:dyDescent="0.2">
      <c r="B30" s="451" t="s">
        <v>150</v>
      </c>
      <c r="C30" s="452">
        <f t="shared" si="0"/>
        <v>0.26255707762557079</v>
      </c>
      <c r="D30" s="453">
        <v>1.1499999999999999</v>
      </c>
      <c r="E30" s="454" t="s">
        <v>144</v>
      </c>
      <c r="F30" s="455" t="s">
        <v>144</v>
      </c>
      <c r="G30" s="456" t="s">
        <v>315</v>
      </c>
      <c r="I30" s="403"/>
      <c r="J30" s="403"/>
      <c r="K30" s="403"/>
    </row>
    <row r="31" spans="2:12" s="415" customFormat="1" ht="15.75" x14ac:dyDescent="0.2">
      <c r="B31" s="451" t="s">
        <v>151</v>
      </c>
      <c r="C31" s="452">
        <f t="shared" si="0"/>
        <v>8.2100456621004572</v>
      </c>
      <c r="D31" s="453">
        <v>35.96</v>
      </c>
      <c r="E31" s="454" t="s">
        <v>144</v>
      </c>
      <c r="F31" s="455" t="s">
        <v>144</v>
      </c>
      <c r="G31" s="462" t="s">
        <v>320</v>
      </c>
      <c r="I31" s="403"/>
      <c r="J31" s="403"/>
      <c r="K31" s="403"/>
    </row>
    <row r="32" spans="2:12" s="415" customFormat="1" x14ac:dyDescent="0.2">
      <c r="B32" s="451" t="s">
        <v>152</v>
      </c>
      <c r="C32" s="452">
        <f t="shared" si="0"/>
        <v>4.0182648401826482</v>
      </c>
      <c r="D32" s="453">
        <v>17.600000000000001</v>
      </c>
      <c r="E32" s="454" t="s">
        <v>144</v>
      </c>
      <c r="F32" s="455" t="s">
        <v>144</v>
      </c>
      <c r="G32" s="456" t="s">
        <v>315</v>
      </c>
      <c r="I32" s="403"/>
      <c r="J32" s="403"/>
      <c r="K32" s="403"/>
    </row>
    <row r="33" spans="2:11" s="461" customFormat="1" ht="15" customHeight="1" x14ac:dyDescent="0.2">
      <c r="B33" s="451" t="s">
        <v>153</v>
      </c>
      <c r="C33" s="452">
        <f>C157</f>
        <v>0.37071721711940592</v>
      </c>
      <c r="D33" s="453">
        <f t="shared" ref="D33:G33" si="1">D157</f>
        <v>1.623741410982998</v>
      </c>
      <c r="E33" s="463">
        <f t="shared" si="1"/>
        <v>4.5599999999999996</v>
      </c>
      <c r="F33" s="459" t="str">
        <f t="shared" si="1"/>
        <v>lb/MMscf</v>
      </c>
      <c r="G33" s="456" t="str">
        <f t="shared" si="1"/>
        <v>Clairton Stack Test (Jun-2000)</v>
      </c>
      <c r="I33" s="464"/>
      <c r="J33" s="457"/>
      <c r="K33" s="457"/>
    </row>
    <row r="34" spans="2:11" s="415" customFormat="1" x14ac:dyDescent="0.2">
      <c r="B34" s="451"/>
      <c r="C34" s="452"/>
      <c r="D34" s="453"/>
      <c r="E34" s="465"/>
      <c r="F34" s="459"/>
      <c r="G34" s="456"/>
      <c r="I34" s="403"/>
      <c r="J34" s="403"/>
      <c r="K34" s="403"/>
    </row>
    <row r="35" spans="2:11" s="415" customFormat="1" x14ac:dyDescent="0.2">
      <c r="B35" s="446" t="s">
        <v>154</v>
      </c>
      <c r="C35" s="447"/>
      <c r="D35" s="466"/>
      <c r="E35" s="467"/>
      <c r="F35" s="468"/>
      <c r="G35" s="449"/>
      <c r="I35" s="403"/>
      <c r="J35" s="403"/>
      <c r="K35" s="403"/>
    </row>
    <row r="36" spans="2:11" s="415" customFormat="1" x14ac:dyDescent="0.2">
      <c r="B36" s="100" t="s">
        <v>155</v>
      </c>
      <c r="C36" s="101"/>
      <c r="D36" s="466"/>
      <c r="E36" s="453"/>
      <c r="F36" s="469"/>
      <c r="G36" s="449"/>
      <c r="I36" s="403"/>
      <c r="J36" s="403"/>
      <c r="K36" s="403"/>
    </row>
    <row r="37" spans="2:11" s="53" customFormat="1" x14ac:dyDescent="0.2">
      <c r="B37" s="236" t="s">
        <v>156</v>
      </c>
      <c r="C37" s="246">
        <f>_xlfn.MAXIFS(C$92:C$197,$B$92:$B$197,$B37)</f>
        <v>1.074150996351389E-6</v>
      </c>
      <c r="D37" s="246">
        <f t="shared" ref="D37:D60" si="2">_xlfn.MAXIFS(D$92:D$197,$B$92:$B$197,$B37)</f>
        <v>4.7047813640190836E-6</v>
      </c>
      <c r="E37" s="340" t="s">
        <v>144</v>
      </c>
      <c r="F37" s="341" t="s">
        <v>144</v>
      </c>
      <c r="G37" s="342" t="s">
        <v>319</v>
      </c>
      <c r="H37" s="53" t="s">
        <v>238</v>
      </c>
      <c r="I37" s="41"/>
      <c r="J37" s="41"/>
      <c r="K37" s="41"/>
    </row>
    <row r="38" spans="2:11" s="53" customFormat="1" x14ac:dyDescent="0.2">
      <c r="B38" s="236" t="s">
        <v>157</v>
      </c>
      <c r="C38" s="246">
        <f t="shared" ref="C38:C60" si="3">_xlfn.MAXIFS(C$92:C$197,$B$92:$B$197,$B38)</f>
        <v>8.0561324726354178E-8</v>
      </c>
      <c r="D38" s="246">
        <f t="shared" si="2"/>
        <v>3.5285860230143129E-7</v>
      </c>
      <c r="E38" s="340" t="s">
        <v>144</v>
      </c>
      <c r="F38" s="341" t="s">
        <v>144</v>
      </c>
      <c r="G38" s="342" t="s">
        <v>319</v>
      </c>
      <c r="H38" s="53" t="s">
        <v>238</v>
      </c>
      <c r="I38" s="41"/>
      <c r="J38" s="41"/>
      <c r="K38" s="41"/>
    </row>
    <row r="39" spans="2:11" s="53" customFormat="1" x14ac:dyDescent="0.2">
      <c r="B39" s="236" t="s">
        <v>158</v>
      </c>
      <c r="C39" s="246">
        <f t="shared" si="3"/>
        <v>7.1610066423425934E-7</v>
      </c>
      <c r="D39" s="246">
        <f t="shared" si="2"/>
        <v>3.1365209093460556E-6</v>
      </c>
      <c r="E39" s="340" t="s">
        <v>144</v>
      </c>
      <c r="F39" s="341" t="s">
        <v>144</v>
      </c>
      <c r="G39" s="342" t="s">
        <v>319</v>
      </c>
      <c r="H39" s="53" t="s">
        <v>238</v>
      </c>
      <c r="I39" s="41"/>
      <c r="J39" s="41"/>
      <c r="K39" s="41"/>
    </row>
    <row r="40" spans="2:11" s="53" customFormat="1" x14ac:dyDescent="0.2">
      <c r="B40" s="236" t="s">
        <v>159</v>
      </c>
      <c r="C40" s="246">
        <f t="shared" si="3"/>
        <v>8.0561324726354178E-8</v>
      </c>
      <c r="D40" s="246">
        <f t="shared" si="2"/>
        <v>3.5285860230143129E-7</v>
      </c>
      <c r="E40" s="340" t="s">
        <v>144</v>
      </c>
      <c r="F40" s="341" t="s">
        <v>144</v>
      </c>
      <c r="G40" s="342" t="s">
        <v>319</v>
      </c>
      <c r="H40" s="53" t="s">
        <v>238</v>
      </c>
      <c r="I40" s="41"/>
      <c r="J40" s="41"/>
      <c r="K40" s="41"/>
    </row>
    <row r="41" spans="2:11" s="53" customFormat="1" x14ac:dyDescent="0.2">
      <c r="B41" s="236" t="s">
        <v>160</v>
      </c>
      <c r="C41" s="246">
        <f t="shared" si="3"/>
        <v>8.0561324726354178E-8</v>
      </c>
      <c r="D41" s="246">
        <f t="shared" si="2"/>
        <v>3.5285860230143129E-7</v>
      </c>
      <c r="E41" s="340" t="s">
        <v>144</v>
      </c>
      <c r="F41" s="341" t="s">
        <v>144</v>
      </c>
      <c r="G41" s="342" t="s">
        <v>319</v>
      </c>
      <c r="H41" s="53" t="s">
        <v>238</v>
      </c>
      <c r="I41" s="41"/>
      <c r="J41" s="41"/>
      <c r="K41" s="41"/>
    </row>
    <row r="42" spans="2:11" s="53" customFormat="1" x14ac:dyDescent="0.2">
      <c r="B42" s="236" t="s">
        <v>161</v>
      </c>
      <c r="C42" s="246">
        <f t="shared" si="3"/>
        <v>1.0741509963513891E-7</v>
      </c>
      <c r="D42" s="246">
        <f t="shared" si="2"/>
        <v>4.7047813640190843E-7</v>
      </c>
      <c r="E42" s="340" t="s">
        <v>144</v>
      </c>
      <c r="F42" s="341" t="s">
        <v>144</v>
      </c>
      <c r="G42" s="342" t="s">
        <v>319</v>
      </c>
      <c r="H42" s="53" t="s">
        <v>238</v>
      </c>
      <c r="I42" s="41"/>
      <c r="J42" s="41"/>
      <c r="K42" s="41"/>
    </row>
    <row r="43" spans="2:11" s="53" customFormat="1" x14ac:dyDescent="0.2">
      <c r="B43" s="236" t="s">
        <v>162</v>
      </c>
      <c r="C43" s="246">
        <f t="shared" si="3"/>
        <v>8.0561324726354178E-8</v>
      </c>
      <c r="D43" s="246">
        <f t="shared" si="2"/>
        <v>3.5285860230143129E-7</v>
      </c>
      <c r="E43" s="340" t="s">
        <v>144</v>
      </c>
      <c r="F43" s="341" t="s">
        <v>144</v>
      </c>
      <c r="G43" s="342" t="s">
        <v>319</v>
      </c>
      <c r="H43" s="53" t="s">
        <v>240</v>
      </c>
      <c r="I43" s="41"/>
      <c r="J43" s="41"/>
      <c r="K43" s="41"/>
    </row>
    <row r="44" spans="2:11" s="53" customFormat="1" x14ac:dyDescent="0.2">
      <c r="B44" s="236" t="s">
        <v>163</v>
      </c>
      <c r="C44" s="246">
        <f t="shared" si="3"/>
        <v>1.8698456126636704E-3</v>
      </c>
      <c r="D44" s="246">
        <f t="shared" si="2"/>
        <v>8.1899237834668764E-3</v>
      </c>
      <c r="E44" s="340" t="s">
        <v>144</v>
      </c>
      <c r="F44" s="341" t="s">
        <v>144</v>
      </c>
      <c r="G44" s="342" t="s">
        <v>319</v>
      </c>
      <c r="H44" s="53" t="s">
        <v>238</v>
      </c>
      <c r="I44" s="41"/>
      <c r="J44" s="41"/>
      <c r="K44" s="41"/>
    </row>
    <row r="45" spans="2:11" s="53" customFormat="1" x14ac:dyDescent="0.2">
      <c r="B45" s="236" t="s">
        <v>164</v>
      </c>
      <c r="C45" s="246">
        <f t="shared" si="3"/>
        <v>5.3707549817569454E-8</v>
      </c>
      <c r="D45" s="246">
        <f t="shared" si="2"/>
        <v>2.3523906820095421E-7</v>
      </c>
      <c r="E45" s="340" t="s">
        <v>144</v>
      </c>
      <c r="F45" s="341" t="s">
        <v>144</v>
      </c>
      <c r="G45" s="342" t="s">
        <v>319</v>
      </c>
      <c r="H45" s="53" t="s">
        <v>240</v>
      </c>
      <c r="I45" s="41"/>
      <c r="J45" s="41"/>
      <c r="K45" s="41"/>
    </row>
    <row r="46" spans="2:11" s="53" customFormat="1" x14ac:dyDescent="0.2">
      <c r="B46" s="236" t="s">
        <v>165</v>
      </c>
      <c r="C46" s="246">
        <f t="shared" si="3"/>
        <v>8.0561324726354178E-8</v>
      </c>
      <c r="D46" s="246">
        <f t="shared" si="2"/>
        <v>3.5285860230143129E-7</v>
      </c>
      <c r="E46" s="340" t="s">
        <v>144</v>
      </c>
      <c r="F46" s="341" t="s">
        <v>144</v>
      </c>
      <c r="G46" s="342" t="s">
        <v>319</v>
      </c>
      <c r="H46" s="53" t="s">
        <v>240</v>
      </c>
      <c r="I46" s="41"/>
      <c r="J46" s="41"/>
      <c r="K46" s="41"/>
    </row>
    <row r="47" spans="2:11" s="53" customFormat="1" x14ac:dyDescent="0.2">
      <c r="B47" s="236" t="s">
        <v>166</v>
      </c>
      <c r="C47" s="246">
        <f t="shared" si="3"/>
        <v>5.3707549817569454E-8</v>
      </c>
      <c r="D47" s="246">
        <f t="shared" si="2"/>
        <v>2.3523906820095421E-7</v>
      </c>
      <c r="E47" s="340" t="s">
        <v>144</v>
      </c>
      <c r="F47" s="341" t="s">
        <v>144</v>
      </c>
      <c r="G47" s="342" t="s">
        <v>319</v>
      </c>
      <c r="H47" s="53" t="s">
        <v>240</v>
      </c>
      <c r="I47" s="41"/>
      <c r="J47" s="41"/>
      <c r="K47" s="41"/>
    </row>
    <row r="48" spans="2:11" s="53" customFormat="1" x14ac:dyDescent="0.2">
      <c r="B48" s="236" t="s">
        <v>167</v>
      </c>
      <c r="C48" s="246">
        <f t="shared" si="3"/>
        <v>8.0561324726354178E-8</v>
      </c>
      <c r="D48" s="246">
        <f t="shared" si="2"/>
        <v>3.5285860230143129E-7</v>
      </c>
      <c r="E48" s="340" t="s">
        <v>144</v>
      </c>
      <c r="F48" s="341" t="s">
        <v>144</v>
      </c>
      <c r="G48" s="342" t="s">
        <v>319</v>
      </c>
      <c r="H48" s="53" t="s">
        <v>240</v>
      </c>
      <c r="I48" s="41"/>
      <c r="J48" s="41"/>
      <c r="K48" s="41"/>
    </row>
    <row r="49" spans="2:11" s="53" customFormat="1" x14ac:dyDescent="0.2">
      <c r="B49" s="236" t="s">
        <v>168</v>
      </c>
      <c r="C49" s="246">
        <f t="shared" si="3"/>
        <v>8.0561324726354178E-8</v>
      </c>
      <c r="D49" s="246">
        <f t="shared" si="2"/>
        <v>3.5285860230143129E-7</v>
      </c>
      <c r="E49" s="340" t="s">
        <v>144</v>
      </c>
      <c r="F49" s="341" t="s">
        <v>144</v>
      </c>
      <c r="G49" s="342" t="s">
        <v>319</v>
      </c>
      <c r="H49" s="53" t="s">
        <v>240</v>
      </c>
      <c r="I49" s="41"/>
      <c r="J49" s="41"/>
      <c r="K49" s="41"/>
    </row>
    <row r="50" spans="2:11" s="53" customFormat="1" x14ac:dyDescent="0.2">
      <c r="B50" s="236" t="s">
        <v>169</v>
      </c>
      <c r="C50" s="246">
        <f t="shared" si="3"/>
        <v>5.3707549817569454E-8</v>
      </c>
      <c r="D50" s="246">
        <f t="shared" si="2"/>
        <v>2.3523906820095421E-7</v>
      </c>
      <c r="E50" s="340" t="s">
        <v>144</v>
      </c>
      <c r="F50" s="341" t="s">
        <v>144</v>
      </c>
      <c r="G50" s="342" t="s">
        <v>319</v>
      </c>
      <c r="H50" s="53" t="s">
        <v>240</v>
      </c>
      <c r="I50" s="41"/>
      <c r="J50" s="41"/>
      <c r="K50" s="41"/>
    </row>
    <row r="51" spans="2:11" s="53" customFormat="1" x14ac:dyDescent="0.2">
      <c r="B51" s="236" t="s">
        <v>170</v>
      </c>
      <c r="C51" s="246">
        <f t="shared" si="3"/>
        <v>5.3707549817569443E-5</v>
      </c>
      <c r="D51" s="246">
        <f t="shared" si="2"/>
        <v>2.3523906820095418E-4</v>
      </c>
      <c r="E51" s="340" t="s">
        <v>144</v>
      </c>
      <c r="F51" s="341" t="s">
        <v>144</v>
      </c>
      <c r="G51" s="342" t="s">
        <v>319</v>
      </c>
      <c r="H51" s="53" t="s">
        <v>240</v>
      </c>
      <c r="I51" s="41"/>
      <c r="J51" s="41"/>
      <c r="K51" s="41"/>
    </row>
    <row r="52" spans="2:11" s="53" customFormat="1" x14ac:dyDescent="0.2">
      <c r="B52" s="236" t="s">
        <v>171</v>
      </c>
      <c r="C52" s="246">
        <f t="shared" si="3"/>
        <v>1.3426887454392363E-7</v>
      </c>
      <c r="D52" s="246">
        <f t="shared" si="2"/>
        <v>5.8809767050238546E-7</v>
      </c>
      <c r="E52" s="340" t="s">
        <v>144</v>
      </c>
      <c r="F52" s="341" t="s">
        <v>144</v>
      </c>
      <c r="G52" s="342" t="s">
        <v>319</v>
      </c>
      <c r="H52" s="53" t="s">
        <v>240</v>
      </c>
      <c r="I52" s="41"/>
      <c r="J52" s="41"/>
      <c r="K52" s="41"/>
    </row>
    <row r="53" spans="2:11" s="53" customFormat="1" x14ac:dyDescent="0.2">
      <c r="B53" s="236" t="s">
        <v>172</v>
      </c>
      <c r="C53" s="246">
        <f t="shared" si="3"/>
        <v>1.2531761624099537E-7</v>
      </c>
      <c r="D53" s="246">
        <f t="shared" si="2"/>
        <v>5.4889115913555974E-7</v>
      </c>
      <c r="E53" s="340" t="s">
        <v>144</v>
      </c>
      <c r="F53" s="341" t="s">
        <v>144</v>
      </c>
      <c r="G53" s="342" t="s">
        <v>319</v>
      </c>
      <c r="H53" s="53" t="s">
        <v>240</v>
      </c>
      <c r="I53" s="41"/>
      <c r="J53" s="41"/>
      <c r="K53" s="41"/>
    </row>
    <row r="54" spans="2:11" s="53" customFormat="1" x14ac:dyDescent="0.2">
      <c r="B54" s="236" t="s">
        <v>173</v>
      </c>
      <c r="C54" s="246">
        <f t="shared" si="3"/>
        <v>3.3567218635980906E-3</v>
      </c>
      <c r="D54" s="246">
        <f t="shared" si="2"/>
        <v>1.4702441762559637E-2</v>
      </c>
      <c r="E54" s="340" t="s">
        <v>144</v>
      </c>
      <c r="F54" s="341" t="s">
        <v>144</v>
      </c>
      <c r="G54" s="342" t="s">
        <v>319</v>
      </c>
      <c r="H54" s="53" t="s">
        <v>238</v>
      </c>
      <c r="I54" s="41"/>
      <c r="J54" s="41"/>
      <c r="K54" s="41"/>
    </row>
    <row r="55" spans="2:11" s="415" customFormat="1" x14ac:dyDescent="0.2">
      <c r="B55" s="103" t="s">
        <v>174</v>
      </c>
      <c r="C55" s="246">
        <f t="shared" si="3"/>
        <v>8.0561324726354175E-2</v>
      </c>
      <c r="D55" s="246">
        <f t="shared" si="2"/>
        <v>0.35285860230143129</v>
      </c>
      <c r="E55" s="470">
        <f>E114</f>
        <v>2.0699999999999998</v>
      </c>
      <c r="F55" s="430" t="s">
        <v>203</v>
      </c>
      <c r="G55" s="449" t="s">
        <v>319</v>
      </c>
      <c r="H55" s="415" t="s">
        <v>238</v>
      </c>
      <c r="I55" s="403"/>
      <c r="J55" s="41"/>
      <c r="K55" s="403"/>
    </row>
    <row r="56" spans="2:11" s="53" customFormat="1" x14ac:dyDescent="0.2">
      <c r="B56" s="236" t="s">
        <v>175</v>
      </c>
      <c r="C56" s="246">
        <f t="shared" si="3"/>
        <v>5.1917298156983807E-10</v>
      </c>
      <c r="D56" s="246">
        <f t="shared" si="2"/>
        <v>2.2739776592758906E-9</v>
      </c>
      <c r="E56" s="340" t="s">
        <v>144</v>
      </c>
      <c r="F56" s="341" t="s">
        <v>144</v>
      </c>
      <c r="G56" s="342" t="s">
        <v>319</v>
      </c>
      <c r="H56" s="53" t="s">
        <v>240</v>
      </c>
      <c r="I56" s="41"/>
      <c r="J56" s="41"/>
      <c r="K56" s="41"/>
    </row>
    <row r="57" spans="2:11" s="53" customFormat="1" x14ac:dyDescent="0.2">
      <c r="B57" s="236" t="s">
        <v>176</v>
      </c>
      <c r="C57" s="246">
        <f t="shared" si="3"/>
        <v>1.7544466273739352E-7</v>
      </c>
      <c r="D57" s="246">
        <f t="shared" si="2"/>
        <v>7.6844762278978366E-7</v>
      </c>
      <c r="E57" s="340" t="s">
        <v>144</v>
      </c>
      <c r="F57" s="341" t="s">
        <v>144</v>
      </c>
      <c r="G57" s="342" t="s">
        <v>319</v>
      </c>
      <c r="H57" s="53" t="s">
        <v>240</v>
      </c>
      <c r="I57" s="41"/>
      <c r="J57" s="41"/>
      <c r="K57" s="41"/>
    </row>
    <row r="58" spans="2:11" s="53" customFormat="1" x14ac:dyDescent="0.2">
      <c r="B58" s="236" t="s">
        <v>177</v>
      </c>
      <c r="C58" s="246">
        <f t="shared" si="3"/>
        <v>4.878435775095892E-9</v>
      </c>
      <c r="D58" s="246">
        <f t="shared" si="2"/>
        <v>2.1367548694920006E-8</v>
      </c>
      <c r="E58" s="340" t="s">
        <v>144</v>
      </c>
      <c r="F58" s="341" t="s">
        <v>144</v>
      </c>
      <c r="G58" s="342" t="s">
        <v>319</v>
      </c>
      <c r="H58" s="53" t="s">
        <v>240</v>
      </c>
      <c r="I58" s="41"/>
      <c r="J58" s="41"/>
      <c r="K58" s="41"/>
    </row>
    <row r="59" spans="2:11" s="53" customFormat="1" x14ac:dyDescent="0.2">
      <c r="B59" s="236" t="s">
        <v>178</v>
      </c>
      <c r="C59" s="246">
        <f t="shared" si="3"/>
        <v>1.4366769576199829E-9</v>
      </c>
      <c r="D59" s="246">
        <f t="shared" si="2"/>
        <v>6.2926450743755252E-9</v>
      </c>
      <c r="E59" s="340" t="s">
        <v>144</v>
      </c>
      <c r="F59" s="341" t="s">
        <v>144</v>
      </c>
      <c r="G59" s="342" t="s">
        <v>319</v>
      </c>
      <c r="H59" s="53" t="s">
        <v>240</v>
      </c>
      <c r="I59" s="41"/>
      <c r="J59" s="41"/>
      <c r="K59" s="41"/>
    </row>
    <row r="60" spans="2:11" s="53" customFormat="1" x14ac:dyDescent="0.2">
      <c r="B60" s="236" t="s">
        <v>179</v>
      </c>
      <c r="C60" s="246">
        <f t="shared" si="3"/>
        <v>9.7568715501917844E-7</v>
      </c>
      <c r="D60" s="246">
        <f t="shared" si="2"/>
        <v>4.2735097389840018E-6</v>
      </c>
      <c r="E60" s="340" t="s">
        <v>144</v>
      </c>
      <c r="F60" s="341" t="s">
        <v>144</v>
      </c>
      <c r="G60" s="342" t="s">
        <v>319</v>
      </c>
      <c r="H60" s="53" t="s">
        <v>238</v>
      </c>
      <c r="I60" s="41"/>
      <c r="J60" s="41"/>
      <c r="K60" s="41"/>
    </row>
    <row r="61" spans="2:11" s="415" customFormat="1" x14ac:dyDescent="0.2">
      <c r="B61" s="100"/>
      <c r="C61" s="105"/>
      <c r="D61" s="471"/>
      <c r="E61" s="453"/>
      <c r="F61" s="469"/>
      <c r="G61" s="449"/>
      <c r="K61" s="403"/>
    </row>
    <row r="62" spans="2:11" s="415" customFormat="1" x14ac:dyDescent="0.2">
      <c r="B62" s="100" t="s">
        <v>180</v>
      </c>
      <c r="C62" s="105"/>
      <c r="D62" s="471"/>
      <c r="E62" s="453"/>
      <c r="F62" s="469"/>
      <c r="G62" s="449"/>
      <c r="K62" s="403"/>
    </row>
    <row r="63" spans="2:11" s="415" customFormat="1" ht="15.75" x14ac:dyDescent="0.3">
      <c r="B63" s="103" t="s">
        <v>181</v>
      </c>
      <c r="C63" s="246">
        <f t="shared" ref="C63:D65" si="4">_xlfn.MAXIFS(C$92:C$197,$B$92:$B$197,$B63)</f>
        <v>2.6828219659957007E-3</v>
      </c>
      <c r="D63" s="246">
        <f t="shared" si="4"/>
        <v>1.1750760211061169E-2</v>
      </c>
      <c r="E63" s="472">
        <f>E158</f>
        <v>3.3000000000000002E-2</v>
      </c>
      <c r="F63" s="430" t="s">
        <v>203</v>
      </c>
      <c r="G63" s="449" t="s">
        <v>319</v>
      </c>
      <c r="H63" s="415" t="s">
        <v>238</v>
      </c>
      <c r="I63" s="403"/>
      <c r="J63" s="41"/>
      <c r="K63" s="403"/>
    </row>
    <row r="64" spans="2:11" s="415" customFormat="1" x14ac:dyDescent="0.2">
      <c r="B64" s="103" t="s">
        <v>182</v>
      </c>
      <c r="C64" s="246">
        <f t="shared" si="4"/>
        <v>5.2843462966581985E-3</v>
      </c>
      <c r="D64" s="246">
        <f t="shared" si="4"/>
        <v>2.3145436779362909E-2</v>
      </c>
      <c r="E64" s="472">
        <f>E159</f>
        <v>6.5000000000000002E-2</v>
      </c>
      <c r="F64" s="430" t="s">
        <v>203</v>
      </c>
      <c r="G64" s="449" t="s">
        <v>319</v>
      </c>
      <c r="H64" s="415" t="s">
        <v>238</v>
      </c>
      <c r="I64" s="403"/>
      <c r="J64" s="41"/>
      <c r="K64" s="403"/>
    </row>
    <row r="65" spans="2:11" s="415" customFormat="1" x14ac:dyDescent="0.2">
      <c r="B65" s="103" t="s">
        <v>183</v>
      </c>
      <c r="C65" s="246">
        <f t="shared" si="4"/>
        <v>0.14322013284685187</v>
      </c>
      <c r="D65" s="246">
        <f t="shared" si="4"/>
        <v>0.62730418186921122</v>
      </c>
      <c r="E65" s="453">
        <f>MAX(E122,E160)</f>
        <v>3.6799999999999997</v>
      </c>
      <c r="F65" s="469" t="s">
        <v>203</v>
      </c>
      <c r="G65" s="449" t="s">
        <v>319</v>
      </c>
      <c r="H65" s="415" t="s">
        <v>238</v>
      </c>
      <c r="I65" s="403"/>
      <c r="J65" s="41"/>
      <c r="K65" s="403"/>
    </row>
    <row r="66" spans="2:11" s="415" customFormat="1" x14ac:dyDescent="0.2">
      <c r="B66" s="100"/>
      <c r="C66" s="105"/>
      <c r="D66" s="471"/>
      <c r="E66" s="453"/>
      <c r="F66" s="469"/>
      <c r="G66" s="449"/>
      <c r="J66" s="41"/>
      <c r="K66" s="403"/>
    </row>
    <row r="67" spans="2:11" s="415" customFormat="1" x14ac:dyDescent="0.2">
      <c r="B67" s="100" t="s">
        <v>184</v>
      </c>
      <c r="C67" s="105"/>
      <c r="D67" s="471"/>
      <c r="E67" s="453"/>
      <c r="F67" s="469"/>
      <c r="G67" s="449"/>
      <c r="J67" s="41"/>
      <c r="K67" s="403"/>
    </row>
    <row r="68" spans="2:11" s="415" customFormat="1" x14ac:dyDescent="0.2">
      <c r="B68" s="103" t="s">
        <v>66</v>
      </c>
      <c r="C68" s="246">
        <f t="shared" ref="C68:D77" si="5">_xlfn.MAXIFS(C$92:C$197,$B$92:$B$197,$B68)</f>
        <v>2.2378145757320606E-5</v>
      </c>
      <c r="D68" s="246">
        <f t="shared" si="5"/>
        <v>9.8016278417064256E-5</v>
      </c>
      <c r="E68" s="472">
        <f>E125</f>
        <v>5.7499999999999999E-4</v>
      </c>
      <c r="F68" s="430" t="s">
        <v>203</v>
      </c>
      <c r="G68" s="449" t="s">
        <v>319</v>
      </c>
      <c r="H68" s="415" t="s">
        <v>237</v>
      </c>
      <c r="I68" s="403"/>
      <c r="J68" s="41"/>
      <c r="K68" s="403"/>
    </row>
    <row r="69" spans="2:11" s="53" customFormat="1" x14ac:dyDescent="0.2">
      <c r="B69" s="236" t="s">
        <v>185</v>
      </c>
      <c r="C69" s="246">
        <f t="shared" si="5"/>
        <v>5.7288053138740745E-8</v>
      </c>
      <c r="D69" s="246">
        <f t="shared" si="5"/>
        <v>2.5092167274768446E-7</v>
      </c>
      <c r="E69" s="340" t="s">
        <v>144</v>
      </c>
      <c r="F69" s="341" t="s">
        <v>144</v>
      </c>
      <c r="G69" s="342" t="s">
        <v>319</v>
      </c>
      <c r="H69" s="415" t="s">
        <v>237</v>
      </c>
      <c r="I69" s="403"/>
      <c r="J69" s="41"/>
      <c r="K69" s="41"/>
    </row>
    <row r="70" spans="2:11" s="53" customFormat="1" x14ac:dyDescent="0.2">
      <c r="B70" s="236" t="s">
        <v>186</v>
      </c>
      <c r="C70" s="246">
        <f t="shared" si="5"/>
        <v>3.4462344466273735E-9</v>
      </c>
      <c r="D70" s="246">
        <f t="shared" si="5"/>
        <v>1.5094506876227895E-8</v>
      </c>
      <c r="E70" s="340" t="s">
        <v>144</v>
      </c>
      <c r="F70" s="341" t="s">
        <v>144</v>
      </c>
      <c r="G70" s="342" t="s">
        <v>319</v>
      </c>
      <c r="H70" s="415" t="s">
        <v>237</v>
      </c>
      <c r="I70" s="403"/>
      <c r="J70" s="41"/>
      <c r="K70" s="41"/>
    </row>
    <row r="71" spans="2:11" s="53" customFormat="1" x14ac:dyDescent="0.2">
      <c r="B71" s="236" t="s">
        <v>187</v>
      </c>
      <c r="C71" s="246">
        <f t="shared" si="5"/>
        <v>3.1597941809336691E-7</v>
      </c>
      <c r="D71" s="246">
        <f t="shared" si="5"/>
        <v>1.3839898512489471E-6</v>
      </c>
      <c r="E71" s="340" t="s">
        <v>144</v>
      </c>
      <c r="F71" s="341" t="s">
        <v>144</v>
      </c>
      <c r="G71" s="342" t="s">
        <v>319</v>
      </c>
      <c r="H71" s="415" t="s">
        <v>237</v>
      </c>
      <c r="I71" s="403"/>
      <c r="J71" s="41"/>
      <c r="K71" s="41"/>
    </row>
    <row r="72" spans="2:11" s="53" customFormat="1" x14ac:dyDescent="0.2">
      <c r="B72" s="236" t="s">
        <v>188</v>
      </c>
      <c r="C72" s="246">
        <f t="shared" si="5"/>
        <v>4.0235906071662449E-7</v>
      </c>
      <c r="D72" s="246">
        <f t="shared" si="5"/>
        <v>1.7623326859388152E-6</v>
      </c>
      <c r="E72" s="340" t="s">
        <v>144</v>
      </c>
      <c r="F72" s="341" t="s">
        <v>144</v>
      </c>
      <c r="G72" s="342" t="s">
        <v>319</v>
      </c>
      <c r="H72" s="415" t="s">
        <v>237</v>
      </c>
      <c r="I72" s="403"/>
      <c r="J72" s="41"/>
      <c r="K72" s="41"/>
    </row>
    <row r="73" spans="2:11" s="53" customFormat="1" x14ac:dyDescent="0.2">
      <c r="B73" s="236" t="s">
        <v>189</v>
      </c>
      <c r="C73" s="246">
        <f t="shared" si="5"/>
        <v>2.4123641126391612E-8</v>
      </c>
      <c r="D73" s="246">
        <f t="shared" si="5"/>
        <v>1.0566154813359527E-7</v>
      </c>
      <c r="E73" s="340" t="s">
        <v>144</v>
      </c>
      <c r="F73" s="341" t="s">
        <v>144</v>
      </c>
      <c r="G73" s="342" t="s">
        <v>319</v>
      </c>
      <c r="H73" s="53" t="s">
        <v>237</v>
      </c>
      <c r="I73" s="41"/>
      <c r="J73" s="41"/>
      <c r="K73" s="41"/>
    </row>
    <row r="74" spans="2:11" s="53" customFormat="1" x14ac:dyDescent="0.2">
      <c r="B74" s="236" t="s">
        <v>190</v>
      </c>
      <c r="C74" s="246">
        <f t="shared" si="5"/>
        <v>1.0920535129572455E-7</v>
      </c>
      <c r="D74" s="246">
        <f t="shared" si="5"/>
        <v>4.7831943867527355E-7</v>
      </c>
      <c r="E74" s="340" t="s">
        <v>144</v>
      </c>
      <c r="F74" s="341" t="s">
        <v>144</v>
      </c>
      <c r="G74" s="342" t="s">
        <v>319</v>
      </c>
      <c r="H74" s="53" t="s">
        <v>237</v>
      </c>
      <c r="I74" s="41"/>
      <c r="J74" s="41"/>
      <c r="K74" s="41"/>
    </row>
    <row r="75" spans="2:11" s="53" customFormat="1" x14ac:dyDescent="0.2">
      <c r="B75" s="236" t="s">
        <v>191</v>
      </c>
      <c r="C75" s="246">
        <f t="shared" si="5"/>
        <v>1.1636635793806714E-5</v>
      </c>
      <c r="D75" s="246">
        <f t="shared" si="5"/>
        <v>5.0968464776873405E-5</v>
      </c>
      <c r="E75" s="340" t="s">
        <v>144</v>
      </c>
      <c r="F75" s="341" t="s">
        <v>144</v>
      </c>
      <c r="G75" s="342" t="s">
        <v>319</v>
      </c>
      <c r="H75" s="53" t="s">
        <v>239</v>
      </c>
      <c r="I75" s="41"/>
      <c r="J75" s="41"/>
      <c r="K75" s="41"/>
    </row>
    <row r="76" spans="2:11" s="53" customFormat="1" x14ac:dyDescent="0.2">
      <c r="B76" s="236" t="s">
        <v>192</v>
      </c>
      <c r="C76" s="246">
        <f t="shared" si="5"/>
        <v>6.0420993544765629E-7</v>
      </c>
      <c r="D76" s="246">
        <f t="shared" si="5"/>
        <v>2.6464395172607348E-6</v>
      </c>
      <c r="E76" s="340" t="s">
        <v>144</v>
      </c>
      <c r="F76" s="341" t="s">
        <v>144</v>
      </c>
      <c r="G76" s="342" t="s">
        <v>319</v>
      </c>
      <c r="H76" s="53" t="s">
        <v>237</v>
      </c>
      <c r="I76" s="41"/>
      <c r="J76" s="41"/>
      <c r="K76" s="41"/>
    </row>
    <row r="77" spans="2:11" s="53" customFormat="1" x14ac:dyDescent="0.2">
      <c r="B77" s="236" t="s">
        <v>193</v>
      </c>
      <c r="C77" s="246">
        <f t="shared" si="5"/>
        <v>6.892468893254747E-9</v>
      </c>
      <c r="D77" s="246">
        <f t="shared" si="5"/>
        <v>3.018901375245579E-8</v>
      </c>
      <c r="E77" s="340" t="s">
        <v>144</v>
      </c>
      <c r="F77" s="341" t="s">
        <v>144</v>
      </c>
      <c r="G77" s="342" t="s">
        <v>319</v>
      </c>
      <c r="H77" s="53" t="s">
        <v>237</v>
      </c>
      <c r="I77" s="41"/>
      <c r="J77" s="41"/>
      <c r="K77" s="41"/>
    </row>
    <row r="78" spans="2:11" s="415" customFormat="1" x14ac:dyDescent="0.2">
      <c r="B78" s="109"/>
      <c r="C78" s="110"/>
      <c r="D78" s="111"/>
      <c r="E78" s="112"/>
      <c r="F78" s="430"/>
      <c r="G78" s="449"/>
      <c r="I78" s="403"/>
      <c r="J78" s="403"/>
      <c r="K78" s="403"/>
    </row>
    <row r="79" spans="2:11" s="415" customFormat="1" x14ac:dyDescent="0.2">
      <c r="B79" s="446" t="s">
        <v>194</v>
      </c>
      <c r="C79" s="447"/>
      <c r="D79" s="111"/>
      <c r="E79" s="112"/>
      <c r="F79" s="430"/>
      <c r="G79" s="449"/>
      <c r="I79" s="403"/>
      <c r="J79" s="403"/>
      <c r="K79" s="403"/>
    </row>
    <row r="80" spans="2:11" s="415" customFormat="1" ht="15.75" x14ac:dyDescent="0.2">
      <c r="B80" s="113" t="s">
        <v>195</v>
      </c>
      <c r="C80" s="114">
        <f t="shared" ref="C80:D82" si="6">_xlfn.MAXIFS(C$92:C$197,$B$92:$B$197,$B80)</f>
        <v>10321.829613930106</v>
      </c>
      <c r="D80" s="246">
        <f t="shared" si="6"/>
        <v>45209.613709013865</v>
      </c>
      <c r="E80" s="116">
        <f>MAX(E137,E163)</f>
        <v>134.52386776259044</v>
      </c>
      <c r="F80" s="459" t="s">
        <v>205</v>
      </c>
      <c r="G80" s="460" t="s">
        <v>319</v>
      </c>
      <c r="I80" s="403"/>
      <c r="J80" s="403"/>
      <c r="K80" s="403"/>
    </row>
    <row r="81" spans="2:12" s="415" customFormat="1" ht="15.75" x14ac:dyDescent="0.2">
      <c r="B81" s="113" t="s">
        <v>196</v>
      </c>
      <c r="C81" s="452">
        <f t="shared" si="6"/>
        <v>0.10546914622924541</v>
      </c>
      <c r="D81" s="246">
        <f t="shared" si="6"/>
        <v>0.4619548604840949</v>
      </c>
      <c r="E81" s="116">
        <f>MAX(E138,E164)</f>
        <v>2.5353160151260919E-3</v>
      </c>
      <c r="F81" s="459" t="s">
        <v>205</v>
      </c>
      <c r="G81" s="460" t="s">
        <v>319</v>
      </c>
      <c r="I81" s="403"/>
      <c r="J81" s="403"/>
      <c r="K81" s="403"/>
    </row>
    <row r="82" spans="2:12" s="415" customFormat="1" ht="15.75" x14ac:dyDescent="0.2">
      <c r="B82" s="113" t="s">
        <v>197</v>
      </c>
      <c r="C82" s="452">
        <f t="shared" si="6"/>
        <v>1.0546914622924545E-2</v>
      </c>
      <c r="D82" s="246">
        <f t="shared" si="6"/>
        <v>4.61954860484095E-2</v>
      </c>
      <c r="E82" s="116">
        <f>MAX(E139,E165)</f>
        <v>2.5353160151260918E-4</v>
      </c>
      <c r="F82" s="459" t="s">
        <v>205</v>
      </c>
      <c r="G82" s="460" t="s">
        <v>319</v>
      </c>
      <c r="I82" s="403"/>
      <c r="J82" s="403"/>
      <c r="K82" s="403"/>
    </row>
    <row r="83" spans="2:12" s="415" customFormat="1" ht="16.5" thickBot="1" x14ac:dyDescent="0.25">
      <c r="B83" s="117" t="s">
        <v>198</v>
      </c>
      <c r="C83" s="118">
        <f>D83/$C$12*2000</f>
        <v>5601.9726081371255</v>
      </c>
      <c r="D83" s="119">
        <v>24536.640023640608</v>
      </c>
      <c r="E83" s="120" t="s">
        <v>199</v>
      </c>
      <c r="F83" s="473" t="s">
        <v>199</v>
      </c>
      <c r="G83" s="445" t="s">
        <v>200</v>
      </c>
      <c r="I83" s="403"/>
      <c r="J83" s="403"/>
      <c r="K83" s="403"/>
    </row>
    <row r="84" spans="2:12" s="415" customFormat="1" x14ac:dyDescent="0.2">
      <c r="B84" s="122"/>
      <c r="C84" s="114"/>
      <c r="D84" s="123"/>
      <c r="E84" s="124"/>
      <c r="F84" s="474"/>
      <c r="G84" s="416"/>
      <c r="I84" s="403"/>
      <c r="J84" s="403"/>
      <c r="K84" s="403"/>
    </row>
    <row r="85" spans="2:12" s="410" customFormat="1" x14ac:dyDescent="0.2">
      <c r="B85" s="427" t="s">
        <v>201</v>
      </c>
      <c r="C85" s="427"/>
      <c r="D85" s="427"/>
      <c r="E85" s="428"/>
      <c r="F85" s="427"/>
      <c r="G85" s="429"/>
      <c r="I85" s="412"/>
      <c r="J85" s="412"/>
      <c r="K85" s="412"/>
    </row>
    <row r="86" spans="2:12" s="415" customFormat="1" ht="6" customHeight="1" thickBot="1" x14ac:dyDescent="0.25">
      <c r="D86" s="414"/>
      <c r="E86" s="430"/>
      <c r="F86" s="430"/>
      <c r="G86" s="416"/>
      <c r="I86" s="403"/>
      <c r="J86" s="403"/>
      <c r="K86" s="403"/>
    </row>
    <row r="87" spans="2:12" s="415" customFormat="1" ht="6" customHeight="1" x14ac:dyDescent="0.2">
      <c r="B87" s="431"/>
      <c r="C87" s="432"/>
      <c r="D87" s="433"/>
      <c r="E87" s="434"/>
      <c r="F87" s="434"/>
      <c r="G87" s="435"/>
      <c r="I87" s="403"/>
      <c r="J87" s="403"/>
      <c r="K87" s="403"/>
    </row>
    <row r="88" spans="2:12" s="439" customFormat="1" ht="38.25" x14ac:dyDescent="0.2">
      <c r="B88" s="436" t="s">
        <v>136</v>
      </c>
      <c r="C88" s="437" t="s">
        <v>137</v>
      </c>
      <c r="D88" s="437" t="s">
        <v>138</v>
      </c>
      <c r="E88" s="437" t="s">
        <v>139</v>
      </c>
      <c r="F88" s="437" t="s">
        <v>140</v>
      </c>
      <c r="G88" s="438" t="s">
        <v>141</v>
      </c>
      <c r="I88" s="594"/>
      <c r="J88" s="594"/>
      <c r="K88" s="594"/>
    </row>
    <row r="89" spans="2:12" s="415" customFormat="1" ht="6" customHeight="1" thickBot="1" x14ac:dyDescent="0.25">
      <c r="B89" s="441"/>
      <c r="C89" s="442"/>
      <c r="D89" s="443"/>
      <c r="E89" s="444"/>
      <c r="F89" s="444"/>
      <c r="G89" s="445"/>
      <c r="I89" s="403"/>
      <c r="J89" s="403"/>
      <c r="K89" s="403"/>
    </row>
    <row r="90" spans="2:12" s="415" customFormat="1" ht="6" customHeight="1" x14ac:dyDescent="0.2">
      <c r="B90" s="431"/>
      <c r="C90" s="432"/>
      <c r="D90" s="433"/>
      <c r="E90" s="434"/>
      <c r="F90" s="434"/>
      <c r="G90" s="435"/>
      <c r="I90" s="403"/>
      <c r="J90" s="403"/>
      <c r="K90" s="403"/>
    </row>
    <row r="91" spans="2:12" s="415" customFormat="1" x14ac:dyDescent="0.2">
      <c r="B91" s="446" t="s">
        <v>142</v>
      </c>
      <c r="C91" s="447"/>
      <c r="D91" s="448"/>
      <c r="E91" s="430"/>
      <c r="F91" s="430"/>
      <c r="G91" s="449"/>
      <c r="H91" s="403"/>
      <c r="I91" s="450"/>
      <c r="J91" s="450"/>
      <c r="K91" s="450"/>
    </row>
    <row r="92" spans="2:12" s="461" customFormat="1" ht="15" customHeight="1" x14ac:dyDescent="0.2">
      <c r="B92" s="451" t="s">
        <v>148</v>
      </c>
      <c r="C92" s="452">
        <f t="shared" ref="C92" si="7">D92/$C$12*2000</f>
        <v>0.25511086163345487</v>
      </c>
      <c r="D92" s="453">
        <f>E92*C15/2000</f>
        <v>1.1173855739545324</v>
      </c>
      <c r="E92" s="458">
        <v>6.5549999999999997</v>
      </c>
      <c r="F92" s="459" t="s">
        <v>203</v>
      </c>
      <c r="G92" s="456" t="s">
        <v>321</v>
      </c>
      <c r="H92" s="457"/>
      <c r="I92" s="457"/>
      <c r="J92" s="457"/>
      <c r="K92" s="457"/>
      <c r="L92" s="457"/>
    </row>
    <row r="93" spans="2:12" s="461" customFormat="1" ht="15" customHeight="1" x14ac:dyDescent="0.2">
      <c r="B93" s="451"/>
      <c r="C93" s="452"/>
      <c r="D93" s="453"/>
      <c r="E93" s="458"/>
      <c r="F93" s="459"/>
      <c r="G93" s="456"/>
      <c r="H93" s="457"/>
      <c r="I93" s="457"/>
      <c r="J93" s="457"/>
      <c r="K93" s="457"/>
      <c r="L93" s="457"/>
    </row>
    <row r="94" spans="2:12" s="415" customFormat="1" x14ac:dyDescent="0.2">
      <c r="B94" s="446" t="s">
        <v>154</v>
      </c>
      <c r="C94" s="447"/>
      <c r="D94" s="466"/>
      <c r="E94" s="467"/>
      <c r="F94" s="468"/>
      <c r="G94" s="449"/>
      <c r="I94" s="403"/>
      <c r="J94" s="403"/>
      <c r="K94" s="403"/>
    </row>
    <row r="95" spans="2:12" s="415" customFormat="1" x14ac:dyDescent="0.2">
      <c r="B95" s="100" t="s">
        <v>155</v>
      </c>
      <c r="C95" s="101"/>
      <c r="D95" s="466"/>
      <c r="E95" s="453"/>
      <c r="F95" s="469"/>
      <c r="G95" s="449"/>
      <c r="I95" s="403"/>
      <c r="J95" s="403"/>
      <c r="K95" s="403"/>
    </row>
    <row r="96" spans="2:12" s="53" customFormat="1" x14ac:dyDescent="0.2">
      <c r="B96" s="236" t="s">
        <v>156</v>
      </c>
      <c r="C96" s="107">
        <f>D96*2000/8760</f>
        <v>1.074150996351389E-6</v>
      </c>
      <c r="D96" s="108">
        <f>E96*$C$15/2000</f>
        <v>4.7047813640190836E-6</v>
      </c>
      <c r="E96" s="108">
        <f>I96*(1+'Key Inputs'!$Q$4)</f>
        <v>2.76E-5</v>
      </c>
      <c r="F96" s="66" t="s">
        <v>203</v>
      </c>
      <c r="G96" s="85" t="s">
        <v>322</v>
      </c>
      <c r="I96" s="500">
        <v>2.4000000000000001E-5</v>
      </c>
      <c r="J96" s="41"/>
      <c r="K96" s="41"/>
    </row>
    <row r="97" spans="2:11" s="53" customFormat="1" x14ac:dyDescent="0.2">
      <c r="B97" s="236" t="s">
        <v>157</v>
      </c>
      <c r="C97" s="107">
        <f t="shared" ref="C97:C119" si="8">D97*2000/8760</f>
        <v>8.0561324726354178E-8</v>
      </c>
      <c r="D97" s="108">
        <f t="shared" ref="D97:D119" si="9">E97*$C$15/2000</f>
        <v>3.5285860230143129E-7</v>
      </c>
      <c r="E97" s="108">
        <f>I97*(1+'Key Inputs'!$Q$4)</f>
        <v>2.0699999999999997E-6</v>
      </c>
      <c r="F97" s="66" t="s">
        <v>203</v>
      </c>
      <c r="G97" s="85" t="s">
        <v>322</v>
      </c>
      <c r="I97" s="500">
        <v>1.7999999999999999E-6</v>
      </c>
      <c r="J97" s="41"/>
      <c r="K97" s="41"/>
    </row>
    <row r="98" spans="2:11" s="53" customFormat="1" x14ac:dyDescent="0.2">
      <c r="B98" s="236" t="s">
        <v>158</v>
      </c>
      <c r="C98" s="107">
        <f t="shared" si="8"/>
        <v>7.1610066423425934E-7</v>
      </c>
      <c r="D98" s="108">
        <f t="shared" si="9"/>
        <v>3.1365209093460556E-6</v>
      </c>
      <c r="E98" s="108">
        <f>I98*(1+'Key Inputs'!$Q$4)</f>
        <v>1.8399999999999997E-5</v>
      </c>
      <c r="F98" s="66" t="s">
        <v>203</v>
      </c>
      <c r="G98" s="85" t="s">
        <v>322</v>
      </c>
      <c r="I98" s="500">
        <v>1.5999999999999999E-5</v>
      </c>
      <c r="J98" s="41"/>
      <c r="K98" s="41"/>
    </row>
    <row r="99" spans="2:11" s="53" customFormat="1" x14ac:dyDescent="0.2">
      <c r="B99" s="236" t="s">
        <v>159</v>
      </c>
      <c r="C99" s="107">
        <f t="shared" si="8"/>
        <v>8.0561324726354178E-8</v>
      </c>
      <c r="D99" s="108">
        <f t="shared" si="9"/>
        <v>3.5285860230143129E-7</v>
      </c>
      <c r="E99" s="108">
        <f>I99*(1+'Key Inputs'!$Q$4)</f>
        <v>2.0699999999999997E-6</v>
      </c>
      <c r="F99" s="66" t="s">
        <v>203</v>
      </c>
      <c r="G99" s="85" t="s">
        <v>322</v>
      </c>
      <c r="I99" s="500">
        <v>1.7999999999999999E-6</v>
      </c>
      <c r="J99" s="41"/>
      <c r="K99" s="41"/>
    </row>
    <row r="100" spans="2:11" s="53" customFormat="1" x14ac:dyDescent="0.2">
      <c r="B100" s="236" t="s">
        <v>160</v>
      </c>
      <c r="C100" s="107">
        <f t="shared" si="8"/>
        <v>8.0561324726354178E-8</v>
      </c>
      <c r="D100" s="108">
        <f t="shared" si="9"/>
        <v>3.5285860230143129E-7</v>
      </c>
      <c r="E100" s="108">
        <f>I100*(1+'Key Inputs'!$Q$4)</f>
        <v>2.0699999999999997E-6</v>
      </c>
      <c r="F100" s="66" t="s">
        <v>203</v>
      </c>
      <c r="G100" s="85" t="s">
        <v>322</v>
      </c>
      <c r="I100" s="500">
        <v>1.7999999999999999E-6</v>
      </c>
      <c r="J100" s="41"/>
      <c r="K100" s="41"/>
    </row>
    <row r="101" spans="2:11" s="53" customFormat="1" x14ac:dyDescent="0.2">
      <c r="B101" s="236" t="s">
        <v>161</v>
      </c>
      <c r="C101" s="107">
        <f t="shared" si="8"/>
        <v>1.0741509963513891E-7</v>
      </c>
      <c r="D101" s="108">
        <f t="shared" si="9"/>
        <v>4.7047813640190843E-7</v>
      </c>
      <c r="E101" s="108">
        <f>I101*(1+'Key Inputs'!$Q$4)</f>
        <v>2.7599999999999998E-6</v>
      </c>
      <c r="F101" s="66" t="s">
        <v>203</v>
      </c>
      <c r="G101" s="85" t="s">
        <v>322</v>
      </c>
      <c r="I101" s="500">
        <v>2.3999999999999999E-6</v>
      </c>
      <c r="J101" s="41"/>
      <c r="K101" s="41"/>
    </row>
    <row r="102" spans="2:11" s="53" customFormat="1" x14ac:dyDescent="0.2">
      <c r="B102" s="236" t="s">
        <v>162</v>
      </c>
      <c r="C102" s="107">
        <f t="shared" si="8"/>
        <v>8.0561324726354178E-8</v>
      </c>
      <c r="D102" s="108">
        <f t="shared" si="9"/>
        <v>3.5285860230143129E-7</v>
      </c>
      <c r="E102" s="108">
        <f>I102*(1+'Key Inputs'!$Q$4)</f>
        <v>2.0699999999999997E-6</v>
      </c>
      <c r="F102" s="66" t="s">
        <v>203</v>
      </c>
      <c r="G102" s="85" t="s">
        <v>322</v>
      </c>
      <c r="I102" s="500">
        <v>1.7999999999999999E-6</v>
      </c>
      <c r="J102" s="41"/>
      <c r="K102" s="41"/>
    </row>
    <row r="103" spans="2:11" s="53" customFormat="1" x14ac:dyDescent="0.2">
      <c r="B103" s="236" t="s">
        <v>163</v>
      </c>
      <c r="C103" s="107">
        <f t="shared" si="8"/>
        <v>9.3988212180746519E-5</v>
      </c>
      <c r="D103" s="108">
        <f t="shared" si="9"/>
        <v>4.1166836935166976E-4</v>
      </c>
      <c r="E103" s="108">
        <f>I103*(1+'Key Inputs'!$Q$4)</f>
        <v>2.4149999999999996E-3</v>
      </c>
      <c r="F103" s="66" t="s">
        <v>203</v>
      </c>
      <c r="G103" s="85" t="s">
        <v>322</v>
      </c>
      <c r="I103" s="500">
        <v>2.0999999999999999E-3</v>
      </c>
      <c r="J103" s="41"/>
      <c r="K103" s="41"/>
    </row>
    <row r="104" spans="2:11" s="53" customFormat="1" x14ac:dyDescent="0.2">
      <c r="B104" s="236" t="s">
        <v>164</v>
      </c>
      <c r="C104" s="107">
        <f t="shared" si="8"/>
        <v>5.3707549817569454E-8</v>
      </c>
      <c r="D104" s="108">
        <f t="shared" si="9"/>
        <v>2.3523906820095421E-7</v>
      </c>
      <c r="E104" s="108">
        <f>I104*(1+'Key Inputs'!$Q$4)</f>
        <v>1.3799999999999999E-6</v>
      </c>
      <c r="F104" s="66" t="s">
        <v>203</v>
      </c>
      <c r="G104" s="85" t="s">
        <v>322</v>
      </c>
      <c r="I104" s="500">
        <v>1.1999999999999999E-6</v>
      </c>
      <c r="J104" s="41"/>
      <c r="K104" s="41"/>
    </row>
    <row r="105" spans="2:11" s="53" customFormat="1" x14ac:dyDescent="0.2">
      <c r="B105" s="236" t="s">
        <v>165</v>
      </c>
      <c r="C105" s="107">
        <f t="shared" si="8"/>
        <v>8.0561324726354178E-8</v>
      </c>
      <c r="D105" s="108">
        <f t="shared" si="9"/>
        <v>3.5285860230143129E-7</v>
      </c>
      <c r="E105" s="108">
        <f>I105*(1+'Key Inputs'!$Q$4)</f>
        <v>2.0699999999999997E-6</v>
      </c>
      <c r="F105" s="66" t="s">
        <v>203</v>
      </c>
      <c r="G105" s="85" t="s">
        <v>322</v>
      </c>
      <c r="I105" s="500">
        <v>1.7999999999999999E-6</v>
      </c>
      <c r="J105" s="41"/>
      <c r="K105" s="41"/>
    </row>
    <row r="106" spans="2:11" s="53" customFormat="1" x14ac:dyDescent="0.2">
      <c r="B106" s="236" t="s">
        <v>166</v>
      </c>
      <c r="C106" s="107">
        <f t="shared" si="8"/>
        <v>5.3707549817569454E-8</v>
      </c>
      <c r="D106" s="108">
        <f t="shared" si="9"/>
        <v>2.3523906820095421E-7</v>
      </c>
      <c r="E106" s="108">
        <f>I106*(1+'Key Inputs'!$Q$4)</f>
        <v>1.3799999999999999E-6</v>
      </c>
      <c r="F106" s="66" t="s">
        <v>203</v>
      </c>
      <c r="G106" s="85" t="s">
        <v>322</v>
      </c>
      <c r="I106" s="500">
        <v>1.1999999999999999E-6</v>
      </c>
      <c r="J106" s="41"/>
      <c r="K106" s="41"/>
    </row>
    <row r="107" spans="2:11" s="53" customFormat="1" x14ac:dyDescent="0.2">
      <c r="B107" s="236" t="s">
        <v>167</v>
      </c>
      <c r="C107" s="107">
        <f t="shared" si="8"/>
        <v>8.0561324726354178E-8</v>
      </c>
      <c r="D107" s="108">
        <f t="shared" si="9"/>
        <v>3.5285860230143129E-7</v>
      </c>
      <c r="E107" s="108">
        <f>I107*(1+'Key Inputs'!$Q$4)</f>
        <v>2.0699999999999997E-6</v>
      </c>
      <c r="F107" s="66" t="s">
        <v>203</v>
      </c>
      <c r="G107" s="85" t="s">
        <v>322</v>
      </c>
      <c r="I107" s="500">
        <v>1.7999999999999999E-6</v>
      </c>
      <c r="J107" s="41"/>
      <c r="K107" s="41"/>
    </row>
    <row r="108" spans="2:11" s="53" customFormat="1" x14ac:dyDescent="0.2">
      <c r="B108" s="236" t="s">
        <v>168</v>
      </c>
      <c r="C108" s="107">
        <f t="shared" si="8"/>
        <v>8.0561324726354178E-8</v>
      </c>
      <c r="D108" s="108">
        <f t="shared" si="9"/>
        <v>3.5285860230143129E-7</v>
      </c>
      <c r="E108" s="108">
        <f>I108*(1+'Key Inputs'!$Q$4)</f>
        <v>2.0699999999999997E-6</v>
      </c>
      <c r="F108" s="66" t="s">
        <v>203</v>
      </c>
      <c r="G108" s="85" t="s">
        <v>322</v>
      </c>
      <c r="I108" s="500">
        <v>1.7999999999999999E-6</v>
      </c>
      <c r="J108" s="41"/>
      <c r="K108" s="41"/>
    </row>
    <row r="109" spans="2:11" s="53" customFormat="1" x14ac:dyDescent="0.2">
      <c r="B109" s="236" t="s">
        <v>169</v>
      </c>
      <c r="C109" s="107">
        <f t="shared" si="8"/>
        <v>5.3707549817569454E-8</v>
      </c>
      <c r="D109" s="108">
        <f t="shared" si="9"/>
        <v>2.3523906820095421E-7</v>
      </c>
      <c r="E109" s="108">
        <f>I109*(1+'Key Inputs'!$Q$4)</f>
        <v>1.3799999999999999E-6</v>
      </c>
      <c r="F109" s="66" t="s">
        <v>203</v>
      </c>
      <c r="G109" s="85" t="s">
        <v>322</v>
      </c>
      <c r="I109" s="500">
        <v>1.1999999999999999E-6</v>
      </c>
      <c r="J109" s="41"/>
      <c r="K109" s="41"/>
    </row>
    <row r="110" spans="2:11" s="53" customFormat="1" x14ac:dyDescent="0.2">
      <c r="B110" s="236" t="s">
        <v>170</v>
      </c>
      <c r="C110" s="107">
        <f t="shared" si="8"/>
        <v>5.3707549817569443E-5</v>
      </c>
      <c r="D110" s="108">
        <f t="shared" si="9"/>
        <v>2.3523906820095418E-4</v>
      </c>
      <c r="E110" s="108">
        <f>I110*(1+'Key Inputs'!$Q$4)</f>
        <v>1.3799999999999997E-3</v>
      </c>
      <c r="F110" s="66" t="s">
        <v>203</v>
      </c>
      <c r="G110" s="85" t="s">
        <v>322</v>
      </c>
      <c r="I110" s="500">
        <v>1.1999999999999999E-3</v>
      </c>
      <c r="J110" s="41"/>
      <c r="K110" s="41"/>
    </row>
    <row r="111" spans="2:11" s="53" customFormat="1" x14ac:dyDescent="0.2">
      <c r="B111" s="236" t="s">
        <v>171</v>
      </c>
      <c r="C111" s="107">
        <f t="shared" si="8"/>
        <v>1.3426887454392363E-7</v>
      </c>
      <c r="D111" s="108">
        <f t="shared" si="9"/>
        <v>5.8809767050238546E-7</v>
      </c>
      <c r="E111" s="108">
        <f>I111*(1+'Key Inputs'!$Q$4)</f>
        <v>3.45E-6</v>
      </c>
      <c r="F111" s="66" t="s">
        <v>203</v>
      </c>
      <c r="G111" s="85" t="s">
        <v>322</v>
      </c>
      <c r="I111" s="500">
        <v>3.0000000000000001E-6</v>
      </c>
      <c r="J111" s="41"/>
      <c r="K111" s="41"/>
    </row>
    <row r="112" spans="2:11" s="53" customFormat="1" x14ac:dyDescent="0.2">
      <c r="B112" s="236" t="s">
        <v>172</v>
      </c>
      <c r="C112" s="107">
        <f t="shared" si="8"/>
        <v>1.2531761624099537E-7</v>
      </c>
      <c r="D112" s="108">
        <f t="shared" si="9"/>
        <v>5.4889115913555974E-7</v>
      </c>
      <c r="E112" s="108">
        <f>I112*(1+'Key Inputs'!$Q$4)</f>
        <v>3.2199999999999997E-6</v>
      </c>
      <c r="F112" s="66" t="s">
        <v>203</v>
      </c>
      <c r="G112" s="85" t="s">
        <v>322</v>
      </c>
      <c r="I112" s="500">
        <v>2.7999999999999999E-6</v>
      </c>
      <c r="J112" s="41"/>
      <c r="K112" s="41"/>
    </row>
    <row r="113" spans="2:11" s="53" customFormat="1" x14ac:dyDescent="0.2">
      <c r="B113" s="236" t="s">
        <v>173</v>
      </c>
      <c r="C113" s="107">
        <f t="shared" si="8"/>
        <v>3.3567218635980906E-3</v>
      </c>
      <c r="D113" s="108">
        <f t="shared" si="9"/>
        <v>1.4702441762559637E-2</v>
      </c>
      <c r="E113" s="89">
        <f>I113*(1+'Key Inputs'!$Q$4)</f>
        <v>8.6249999999999993E-2</v>
      </c>
      <c r="F113" s="66" t="s">
        <v>203</v>
      </c>
      <c r="G113" s="85" t="s">
        <v>322</v>
      </c>
      <c r="I113" s="500">
        <v>7.4999999999999997E-2</v>
      </c>
      <c r="J113" s="41"/>
      <c r="K113" s="41"/>
    </row>
    <row r="114" spans="2:11" s="415" customFormat="1" x14ac:dyDescent="0.2">
      <c r="B114" s="103" t="s">
        <v>174</v>
      </c>
      <c r="C114" s="107">
        <f t="shared" si="8"/>
        <v>8.0561324726354175E-2</v>
      </c>
      <c r="D114" s="108">
        <f t="shared" si="9"/>
        <v>0.35285860230143129</v>
      </c>
      <c r="E114" s="453">
        <v>2.0699999999999998</v>
      </c>
      <c r="F114" s="430" t="s">
        <v>203</v>
      </c>
      <c r="G114" s="449" t="s">
        <v>322</v>
      </c>
      <c r="I114" s="403"/>
      <c r="J114" s="403"/>
      <c r="K114" s="403"/>
    </row>
    <row r="115" spans="2:11" s="53" customFormat="1" x14ac:dyDescent="0.2">
      <c r="B115" s="236" t="s">
        <v>175</v>
      </c>
      <c r="C115" s="107">
        <f t="shared" si="8"/>
        <v>5.1917298156983807E-10</v>
      </c>
      <c r="D115" s="108">
        <f t="shared" si="9"/>
        <v>2.2739776592758906E-9</v>
      </c>
      <c r="E115" s="108">
        <f>I115*(1+'Key Inputs'!$Q$4)</f>
        <v>1.3339999999999999E-8</v>
      </c>
      <c r="F115" s="66" t="s">
        <v>203</v>
      </c>
      <c r="G115" s="85" t="s">
        <v>322</v>
      </c>
      <c r="I115" s="500">
        <v>1.16E-8</v>
      </c>
      <c r="J115" s="41"/>
      <c r="K115" s="41"/>
    </row>
    <row r="116" spans="2:11" s="53" customFormat="1" x14ac:dyDescent="0.2">
      <c r="B116" s="236" t="s">
        <v>176</v>
      </c>
      <c r="C116" s="107">
        <f t="shared" si="8"/>
        <v>1.7544466273739352E-7</v>
      </c>
      <c r="D116" s="108">
        <f t="shared" si="9"/>
        <v>7.6844762278978366E-7</v>
      </c>
      <c r="E116" s="108">
        <f>I116*(1+'Key Inputs'!$Q$4)</f>
        <v>4.507999999999999E-6</v>
      </c>
      <c r="F116" s="66" t="s">
        <v>203</v>
      </c>
      <c r="G116" s="85" t="s">
        <v>322</v>
      </c>
      <c r="I116" s="500">
        <v>3.9199999999999997E-6</v>
      </c>
      <c r="J116" s="41"/>
      <c r="K116" s="41"/>
    </row>
    <row r="117" spans="2:11" s="53" customFormat="1" x14ac:dyDescent="0.2">
      <c r="B117" s="236" t="s">
        <v>177</v>
      </c>
      <c r="C117" s="107">
        <f t="shared" si="8"/>
        <v>4.878435775095892E-9</v>
      </c>
      <c r="D117" s="108">
        <f t="shared" si="9"/>
        <v>2.1367548694920006E-8</v>
      </c>
      <c r="E117" s="108">
        <f>I117*(1+'Key Inputs'!$Q$4)</f>
        <v>1.2534999999999999E-7</v>
      </c>
      <c r="F117" s="66" t="s">
        <v>203</v>
      </c>
      <c r="G117" s="85" t="s">
        <v>322</v>
      </c>
      <c r="I117" s="500">
        <v>1.09E-7</v>
      </c>
      <c r="J117" s="41"/>
      <c r="K117" s="41"/>
    </row>
    <row r="118" spans="2:11" s="53" customFormat="1" x14ac:dyDescent="0.2">
      <c r="B118" s="236" t="s">
        <v>178</v>
      </c>
      <c r="C118" s="107">
        <f t="shared" si="8"/>
        <v>1.4366769576199829E-9</v>
      </c>
      <c r="D118" s="108">
        <f t="shared" si="9"/>
        <v>6.2926450743755252E-9</v>
      </c>
      <c r="E118" s="108">
        <f>I118*(1+'Key Inputs'!$Q$4)</f>
        <v>3.6915000000000003E-8</v>
      </c>
      <c r="F118" s="66" t="s">
        <v>203</v>
      </c>
      <c r="G118" s="85" t="s">
        <v>322</v>
      </c>
      <c r="I118" s="500">
        <v>3.2100000000000003E-8</v>
      </c>
      <c r="J118" s="41"/>
      <c r="K118" s="41"/>
    </row>
    <row r="119" spans="2:11" s="53" customFormat="1" x14ac:dyDescent="0.2">
      <c r="B119" s="236" t="s">
        <v>179</v>
      </c>
      <c r="C119" s="107">
        <f t="shared" si="8"/>
        <v>9.7568715501917844E-7</v>
      </c>
      <c r="D119" s="108">
        <f t="shared" si="9"/>
        <v>4.2735097389840018E-6</v>
      </c>
      <c r="E119" s="108">
        <f>I119*(1+'Key Inputs'!$Q$4)</f>
        <v>2.5069999999999999E-5</v>
      </c>
      <c r="F119" s="66" t="s">
        <v>203</v>
      </c>
      <c r="G119" s="85" t="s">
        <v>322</v>
      </c>
      <c r="I119" s="500">
        <v>2.1800000000000001E-5</v>
      </c>
      <c r="J119" s="41"/>
      <c r="K119" s="41"/>
    </row>
    <row r="120" spans="2:11" s="415" customFormat="1" x14ac:dyDescent="0.2">
      <c r="B120" s="100"/>
      <c r="C120" s="105"/>
      <c r="D120" s="471"/>
      <c r="E120" s="453"/>
      <c r="F120" s="469"/>
      <c r="G120" s="449"/>
      <c r="I120" s="403"/>
      <c r="J120" s="403"/>
      <c r="K120" s="403"/>
    </row>
    <row r="121" spans="2:11" s="415" customFormat="1" x14ac:dyDescent="0.2">
      <c r="B121" s="100" t="s">
        <v>180</v>
      </c>
      <c r="C121" s="105"/>
      <c r="D121" s="471"/>
      <c r="E121" s="453"/>
      <c r="F121" s="469"/>
      <c r="G121" s="449"/>
      <c r="I121" s="403"/>
      <c r="J121" s="403"/>
      <c r="K121" s="403"/>
    </row>
    <row r="122" spans="2:11" s="415" customFormat="1" x14ac:dyDescent="0.2">
      <c r="B122" s="103" t="s">
        <v>183</v>
      </c>
      <c r="C122" s="107">
        <f>D122*2000/8760</f>
        <v>0.14322013284685187</v>
      </c>
      <c r="D122" s="108">
        <f>E122*$C$15/2000</f>
        <v>0.62730418186921122</v>
      </c>
      <c r="E122" s="453">
        <v>3.6799999999999997</v>
      </c>
      <c r="F122" s="469" t="s">
        <v>203</v>
      </c>
      <c r="G122" s="449" t="s">
        <v>209</v>
      </c>
      <c r="I122" s="403"/>
      <c r="J122" s="403"/>
      <c r="K122" s="403"/>
    </row>
    <row r="123" spans="2:11" s="415" customFormat="1" x14ac:dyDescent="0.2">
      <c r="B123" s="100"/>
      <c r="C123" s="105"/>
      <c r="D123" s="471"/>
      <c r="E123" s="453"/>
      <c r="F123" s="469"/>
      <c r="G123" s="449"/>
      <c r="I123" s="403"/>
      <c r="J123" s="403"/>
      <c r="K123" s="403"/>
    </row>
    <row r="124" spans="2:11" s="415" customFormat="1" x14ac:dyDescent="0.2">
      <c r="B124" s="100" t="s">
        <v>184</v>
      </c>
      <c r="C124" s="105"/>
      <c r="D124" s="471"/>
      <c r="E124" s="453"/>
      <c r="F124" s="469"/>
      <c r="G124" s="449"/>
      <c r="I124" s="403"/>
      <c r="J124" s="403"/>
      <c r="K124" s="403"/>
    </row>
    <row r="125" spans="2:11" s="415" customFormat="1" x14ac:dyDescent="0.2">
      <c r="B125" s="103" t="s">
        <v>66</v>
      </c>
      <c r="C125" s="107">
        <f t="shared" ref="C125:C134" si="10">D125*2000/8760</f>
        <v>2.2378145757320606E-5</v>
      </c>
      <c r="D125" s="108">
        <f t="shared" ref="D125:D134" si="11">E125*$C$15/2000</f>
        <v>9.8016278417064256E-5</v>
      </c>
      <c r="E125" s="472">
        <v>5.7499999999999999E-4</v>
      </c>
      <c r="F125" s="430" t="s">
        <v>203</v>
      </c>
      <c r="G125" s="449" t="s">
        <v>321</v>
      </c>
      <c r="I125" s="403"/>
      <c r="J125" s="403"/>
      <c r="K125" s="403"/>
    </row>
    <row r="126" spans="2:11" s="53" customFormat="1" x14ac:dyDescent="0.2">
      <c r="B126" s="236" t="s">
        <v>185</v>
      </c>
      <c r="C126" s="107">
        <f t="shared" si="10"/>
        <v>5.7288053138740745E-8</v>
      </c>
      <c r="D126" s="108">
        <f t="shared" si="11"/>
        <v>2.5092167274768446E-7</v>
      </c>
      <c r="E126" s="108">
        <f>I126*(1+'Key Inputs'!$Q$4)</f>
        <v>1.4719999999999998E-6</v>
      </c>
      <c r="F126" s="66" t="s">
        <v>203</v>
      </c>
      <c r="G126" s="85" t="s">
        <v>323</v>
      </c>
      <c r="I126" s="500">
        <v>1.28E-6</v>
      </c>
      <c r="J126" s="41"/>
      <c r="K126" s="41"/>
    </row>
    <row r="127" spans="2:11" s="53" customFormat="1" x14ac:dyDescent="0.2">
      <c r="B127" s="236" t="s">
        <v>186</v>
      </c>
      <c r="C127" s="107">
        <f t="shared" si="10"/>
        <v>3.4462344466273735E-9</v>
      </c>
      <c r="D127" s="108">
        <f t="shared" si="11"/>
        <v>1.5094506876227895E-8</v>
      </c>
      <c r="E127" s="108">
        <f>I127*(1+'Key Inputs'!$Q$4)</f>
        <v>8.8549999999999996E-8</v>
      </c>
      <c r="F127" s="66" t="s">
        <v>203</v>
      </c>
      <c r="G127" s="85" t="s">
        <v>323</v>
      </c>
      <c r="I127" s="500">
        <v>7.7000000000000001E-8</v>
      </c>
      <c r="J127" s="41"/>
      <c r="K127" s="41"/>
    </row>
    <row r="128" spans="2:11" s="53" customFormat="1" x14ac:dyDescent="0.2">
      <c r="B128" s="236" t="s">
        <v>187</v>
      </c>
      <c r="C128" s="107">
        <f t="shared" si="10"/>
        <v>3.1597941809336691E-7</v>
      </c>
      <c r="D128" s="108">
        <f t="shared" si="11"/>
        <v>1.3839898512489471E-6</v>
      </c>
      <c r="E128" s="108">
        <f>I128*(1+'Key Inputs'!$Q$4)</f>
        <v>8.1189999999999997E-6</v>
      </c>
      <c r="F128" s="66" t="s">
        <v>203</v>
      </c>
      <c r="G128" s="85" t="s">
        <v>323</v>
      </c>
      <c r="I128" s="500">
        <v>7.0600000000000002E-6</v>
      </c>
      <c r="J128" s="41"/>
      <c r="K128" s="41"/>
    </row>
    <row r="129" spans="2:11" s="53" customFormat="1" x14ac:dyDescent="0.2">
      <c r="B129" s="236" t="s">
        <v>188</v>
      </c>
      <c r="C129" s="107">
        <f t="shared" si="10"/>
        <v>4.0235906071662449E-7</v>
      </c>
      <c r="D129" s="108">
        <f t="shared" si="11"/>
        <v>1.7623326859388152E-6</v>
      </c>
      <c r="E129" s="108">
        <f>I129*(1+'Key Inputs'!$Q$4)</f>
        <v>1.0338499999999999E-5</v>
      </c>
      <c r="F129" s="66" t="s">
        <v>203</v>
      </c>
      <c r="G129" s="85" t="s">
        <v>323</v>
      </c>
      <c r="I129" s="500">
        <v>8.9900000000000003E-6</v>
      </c>
      <c r="J129" s="41"/>
      <c r="K129" s="41"/>
    </row>
    <row r="130" spans="2:11" s="53" customFormat="1" x14ac:dyDescent="0.2">
      <c r="B130" s="236" t="s">
        <v>189</v>
      </c>
      <c r="C130" s="107">
        <f t="shared" si="10"/>
        <v>2.4123641126391612E-8</v>
      </c>
      <c r="D130" s="108">
        <f t="shared" si="11"/>
        <v>1.0566154813359527E-7</v>
      </c>
      <c r="E130" s="108">
        <f>I130*(1+'Key Inputs'!$Q$4)</f>
        <v>6.1984999999999998E-7</v>
      </c>
      <c r="F130" s="66" t="s">
        <v>203</v>
      </c>
      <c r="G130" s="85" t="s">
        <v>323</v>
      </c>
      <c r="I130" s="500">
        <v>5.3900000000000005E-7</v>
      </c>
      <c r="J130" s="41"/>
      <c r="K130" s="41"/>
    </row>
    <row r="131" spans="2:11" s="53" customFormat="1" x14ac:dyDescent="0.2">
      <c r="B131" s="236" t="s">
        <v>190</v>
      </c>
      <c r="C131" s="107">
        <f t="shared" si="10"/>
        <v>1.0920535129572455E-7</v>
      </c>
      <c r="D131" s="108">
        <f t="shared" si="11"/>
        <v>4.7831943867527355E-7</v>
      </c>
      <c r="E131" s="108">
        <f>I131*(1+'Key Inputs'!$Q$4)</f>
        <v>2.8059999999999999E-6</v>
      </c>
      <c r="F131" s="66" t="s">
        <v>203</v>
      </c>
      <c r="G131" s="85" t="s">
        <v>323</v>
      </c>
      <c r="I131" s="500">
        <v>2.4399999999999999E-6</v>
      </c>
      <c r="J131" s="41"/>
      <c r="K131" s="41"/>
    </row>
    <row r="132" spans="2:11" s="53" customFormat="1" x14ac:dyDescent="0.2">
      <c r="B132" s="236" t="s">
        <v>191</v>
      </c>
      <c r="C132" s="107">
        <f t="shared" si="10"/>
        <v>1.1636635793806714E-5</v>
      </c>
      <c r="D132" s="108">
        <f t="shared" si="11"/>
        <v>5.0968464776873405E-5</v>
      </c>
      <c r="E132" s="108">
        <f>I132*(1+'Key Inputs'!$Q$4)</f>
        <v>2.9899999999999995E-4</v>
      </c>
      <c r="F132" s="66" t="s">
        <v>203</v>
      </c>
      <c r="G132" s="85" t="s">
        <v>323</v>
      </c>
      <c r="I132" s="500">
        <v>2.5999999999999998E-4</v>
      </c>
      <c r="J132" s="41"/>
      <c r="K132" s="41"/>
    </row>
    <row r="133" spans="2:11" s="53" customFormat="1" x14ac:dyDescent="0.2">
      <c r="B133" s="236" t="s">
        <v>192</v>
      </c>
      <c r="C133" s="107">
        <f t="shared" si="10"/>
        <v>6.0420993544765629E-7</v>
      </c>
      <c r="D133" s="108">
        <f t="shared" si="11"/>
        <v>2.6464395172607348E-6</v>
      </c>
      <c r="E133" s="108">
        <f>I133*(1+'Key Inputs'!$Q$4)</f>
        <v>1.5524999999999998E-5</v>
      </c>
      <c r="F133" s="66" t="s">
        <v>203</v>
      </c>
      <c r="G133" s="85" t="s">
        <v>323</v>
      </c>
      <c r="I133" s="500">
        <v>1.3499999999999999E-5</v>
      </c>
      <c r="J133" s="41"/>
      <c r="K133" s="41"/>
    </row>
    <row r="134" spans="2:11" s="53" customFormat="1" x14ac:dyDescent="0.2">
      <c r="B134" s="236" t="s">
        <v>193</v>
      </c>
      <c r="C134" s="107">
        <f t="shared" si="10"/>
        <v>6.892468893254747E-9</v>
      </c>
      <c r="D134" s="108">
        <f t="shared" si="11"/>
        <v>3.018901375245579E-8</v>
      </c>
      <c r="E134" s="108">
        <f>I134*(1+'Key Inputs'!$Q$4)</f>
        <v>1.7709999999999999E-7</v>
      </c>
      <c r="F134" s="66" t="s">
        <v>203</v>
      </c>
      <c r="G134" s="85" t="s">
        <v>323</v>
      </c>
      <c r="I134" s="500">
        <v>1.54E-7</v>
      </c>
      <c r="J134" s="41"/>
      <c r="K134" s="41"/>
    </row>
    <row r="135" spans="2:11" s="415" customFormat="1" x14ac:dyDescent="0.2">
      <c r="B135" s="109"/>
      <c r="C135" s="110"/>
      <c r="D135" s="111"/>
      <c r="E135" s="112"/>
      <c r="F135" s="430"/>
      <c r="G135" s="449"/>
      <c r="I135" s="403"/>
      <c r="J135" s="403"/>
      <c r="K135" s="403"/>
    </row>
    <row r="136" spans="2:11" s="415" customFormat="1" x14ac:dyDescent="0.2">
      <c r="B136" s="446" t="s">
        <v>194</v>
      </c>
      <c r="C136" s="447"/>
      <c r="D136" s="111"/>
      <c r="E136" s="112"/>
      <c r="F136" s="430"/>
      <c r="G136" s="449"/>
      <c r="I136" s="403"/>
      <c r="J136" s="403"/>
      <c r="K136" s="403"/>
    </row>
    <row r="137" spans="2:11" s="415" customFormat="1" ht="15.75" x14ac:dyDescent="0.2">
      <c r="B137" s="113" t="s">
        <v>195</v>
      </c>
      <c r="C137" s="114">
        <f>D137/$C$12*2000</f>
        <v>5596.1928989237622</v>
      </c>
      <c r="D137" s="475">
        <v>24511.324897286078</v>
      </c>
      <c r="E137" s="116">
        <v>134.52386776259044</v>
      </c>
      <c r="F137" s="459" t="s">
        <v>205</v>
      </c>
      <c r="G137" s="460" t="s">
        <v>211</v>
      </c>
      <c r="I137" s="403"/>
      <c r="J137" s="403"/>
      <c r="K137" s="403"/>
    </row>
    <row r="138" spans="2:11" s="415" customFormat="1" ht="15.75" x14ac:dyDescent="0.2">
      <c r="B138" s="113" t="s">
        <v>196</v>
      </c>
      <c r="C138" s="452">
        <f>D138/$C$12*2000</f>
        <v>0.10546914622924541</v>
      </c>
      <c r="D138" s="475">
        <v>0.4619548604840949</v>
      </c>
      <c r="E138" s="127">
        <v>2.5353160151260919E-3</v>
      </c>
      <c r="F138" s="459" t="s">
        <v>205</v>
      </c>
      <c r="G138" s="460" t="s">
        <v>212</v>
      </c>
      <c r="I138" s="403"/>
      <c r="J138" s="403"/>
      <c r="K138" s="403"/>
    </row>
    <row r="139" spans="2:11" s="415" customFormat="1" ht="15.75" x14ac:dyDescent="0.2">
      <c r="B139" s="113" t="s">
        <v>197</v>
      </c>
      <c r="C139" s="452">
        <f>D139/$C$12*2000</f>
        <v>1.0546914622924543E-2</v>
      </c>
      <c r="D139" s="475">
        <v>4.6195486048409493E-2</v>
      </c>
      <c r="E139" s="128">
        <v>2.5353160151260918E-4</v>
      </c>
      <c r="F139" s="459" t="s">
        <v>205</v>
      </c>
      <c r="G139" s="460" t="s">
        <v>212</v>
      </c>
      <c r="I139" s="403"/>
      <c r="J139" s="403"/>
      <c r="K139" s="403"/>
    </row>
    <row r="140" spans="2:11" s="415" customFormat="1" ht="15.75" x14ac:dyDescent="0.2">
      <c r="B140" s="113" t="s">
        <v>198</v>
      </c>
      <c r="C140" s="114">
        <f>D140/$C$12*2000</f>
        <v>5601.9726081371255</v>
      </c>
      <c r="D140" s="123">
        <v>24536.640023640608</v>
      </c>
      <c r="E140" s="124" t="s">
        <v>199</v>
      </c>
      <c r="F140" s="474" t="s">
        <v>199</v>
      </c>
      <c r="G140" s="449" t="s">
        <v>200</v>
      </c>
      <c r="I140" s="403"/>
      <c r="J140" s="403"/>
      <c r="K140" s="403"/>
    </row>
    <row r="141" spans="2:11" s="415" customFormat="1" ht="6" customHeight="1" thickBot="1" x14ac:dyDescent="0.25">
      <c r="B141" s="441"/>
      <c r="C141" s="476"/>
      <c r="D141" s="477"/>
      <c r="E141" s="478"/>
      <c r="F141" s="478"/>
      <c r="G141" s="445"/>
      <c r="I141" s="403"/>
      <c r="J141" s="403"/>
      <c r="K141" s="403"/>
    </row>
    <row r="142" spans="2:11" s="415" customFormat="1" ht="6" customHeight="1" x14ac:dyDescent="0.2">
      <c r="D142" s="414"/>
      <c r="E142" s="430"/>
      <c r="F142" s="430"/>
      <c r="G142" s="416"/>
      <c r="I142" s="403"/>
      <c r="J142" s="403"/>
      <c r="K142" s="403"/>
    </row>
    <row r="143" spans="2:11" s="410" customFormat="1" x14ac:dyDescent="0.2">
      <c r="B143" s="427" t="s">
        <v>213</v>
      </c>
      <c r="C143" s="427"/>
      <c r="D143" s="427"/>
      <c r="E143" s="428"/>
      <c r="F143" s="427"/>
      <c r="G143" s="429"/>
      <c r="I143" s="412"/>
      <c r="J143" s="412"/>
      <c r="K143" s="412"/>
    </row>
    <row r="144" spans="2:11" s="415" customFormat="1" ht="6" customHeight="1" thickBot="1" x14ac:dyDescent="0.25">
      <c r="D144" s="414"/>
      <c r="E144" s="430"/>
      <c r="F144" s="430"/>
      <c r="G144" s="416"/>
      <c r="I144" s="403"/>
      <c r="J144" s="403"/>
      <c r="K144" s="403"/>
    </row>
    <row r="145" spans="2:11" s="415" customFormat="1" ht="6" customHeight="1" x14ac:dyDescent="0.2">
      <c r="B145" s="431"/>
      <c r="C145" s="432"/>
      <c r="D145" s="433"/>
      <c r="E145" s="434"/>
      <c r="F145" s="434"/>
      <c r="G145" s="435"/>
      <c r="I145" s="403"/>
      <c r="J145" s="403"/>
      <c r="K145" s="403"/>
    </row>
    <row r="146" spans="2:11" s="439" customFormat="1" ht="38.25" x14ac:dyDescent="0.2">
      <c r="B146" s="436" t="s">
        <v>136</v>
      </c>
      <c r="C146" s="437" t="s">
        <v>137</v>
      </c>
      <c r="D146" s="437" t="s">
        <v>138</v>
      </c>
      <c r="E146" s="437" t="s">
        <v>139</v>
      </c>
      <c r="F146" s="437" t="s">
        <v>140</v>
      </c>
      <c r="G146" s="438" t="s">
        <v>141</v>
      </c>
      <c r="I146" s="440"/>
      <c r="J146" s="440"/>
      <c r="K146" s="440"/>
    </row>
    <row r="147" spans="2:11" s="415" customFormat="1" ht="6" customHeight="1" thickBot="1" x14ac:dyDescent="0.25">
      <c r="B147" s="441"/>
      <c r="C147" s="442"/>
      <c r="D147" s="443"/>
      <c r="E147" s="444"/>
      <c r="F147" s="444"/>
      <c r="G147" s="445"/>
      <c r="I147" s="403"/>
      <c r="J147" s="403"/>
      <c r="K147" s="403"/>
    </row>
    <row r="148" spans="2:11" s="415" customFormat="1" ht="6" customHeight="1" x14ac:dyDescent="0.2">
      <c r="B148" s="431"/>
      <c r="C148" s="432"/>
      <c r="D148" s="433"/>
      <c r="E148" s="434"/>
      <c r="F148" s="434"/>
      <c r="G148" s="435"/>
      <c r="I148" s="403"/>
      <c r="J148" s="403"/>
      <c r="K148" s="403"/>
    </row>
    <row r="149" spans="2:11" s="415" customFormat="1" x14ac:dyDescent="0.2">
      <c r="B149" s="446" t="s">
        <v>142</v>
      </c>
      <c r="C149" s="447"/>
      <c r="D149" s="448"/>
      <c r="E149" s="430"/>
      <c r="F149" s="430"/>
      <c r="G149" s="449"/>
      <c r="H149" s="403"/>
      <c r="I149" s="403"/>
      <c r="J149" s="403"/>
      <c r="K149" s="403"/>
    </row>
    <row r="150" spans="2:11" s="461" customFormat="1" ht="15" customHeight="1" x14ac:dyDescent="0.2">
      <c r="B150" s="451" t="s">
        <v>148</v>
      </c>
      <c r="C150" s="452">
        <f t="shared" ref="C150" si="12">D150/$C$12*2000</f>
        <v>0.26421731483290989</v>
      </c>
      <c r="D150" s="453">
        <f>E150*$C$16/2000</f>
        <v>1.1572718389681453</v>
      </c>
      <c r="E150" s="470">
        <v>3.25</v>
      </c>
      <c r="F150" s="459" t="s">
        <v>203</v>
      </c>
      <c r="G150" s="460" t="s">
        <v>214</v>
      </c>
      <c r="H150" s="457"/>
      <c r="I150" s="457"/>
      <c r="J150" s="457"/>
      <c r="K150" s="457"/>
    </row>
    <row r="151" spans="2:11" s="461" customFormat="1" ht="15" customHeight="1" x14ac:dyDescent="0.2">
      <c r="B151" s="451"/>
      <c r="C151" s="452"/>
      <c r="D151" s="453"/>
      <c r="E151" s="470"/>
      <c r="F151" s="459"/>
      <c r="G151" s="460"/>
      <c r="H151" s="457"/>
      <c r="I151" s="457"/>
      <c r="J151" s="457"/>
      <c r="K151" s="457"/>
    </row>
    <row r="152" spans="2:11" s="415" customFormat="1" x14ac:dyDescent="0.2">
      <c r="B152" s="446" t="s">
        <v>154</v>
      </c>
      <c r="C152" s="447"/>
      <c r="D152" s="466"/>
      <c r="E152" s="467"/>
      <c r="F152" s="468"/>
      <c r="G152" s="449"/>
      <c r="I152" s="403"/>
      <c r="J152" s="403"/>
      <c r="K152" s="403"/>
    </row>
    <row r="153" spans="2:11" s="415" customFormat="1" x14ac:dyDescent="0.2">
      <c r="B153" s="100" t="s">
        <v>155</v>
      </c>
      <c r="C153" s="101"/>
      <c r="D153" s="466"/>
      <c r="E153" s="453"/>
      <c r="F153" s="469"/>
      <c r="G153" s="449"/>
      <c r="I153" s="403"/>
      <c r="J153" s="403"/>
      <c r="K153" s="403"/>
    </row>
    <row r="154" spans="2:11" s="415" customFormat="1" x14ac:dyDescent="0.2">
      <c r="B154" s="103" t="s">
        <v>163</v>
      </c>
      <c r="C154" s="479">
        <f t="shared" ref="C154:C160" si="13">D154/$C$12*2000</f>
        <v>1.8698456126636704E-3</v>
      </c>
      <c r="D154" s="472">
        <f>E154*$C$16/2000</f>
        <v>8.1899237834668764E-3</v>
      </c>
      <c r="E154" s="472">
        <v>2.3E-2</v>
      </c>
      <c r="F154" s="430" t="s">
        <v>203</v>
      </c>
      <c r="G154" s="449" t="s">
        <v>219</v>
      </c>
      <c r="I154" s="480"/>
      <c r="J154" s="480"/>
      <c r="K154" s="403"/>
    </row>
    <row r="155" spans="2:11" s="415" customFormat="1" x14ac:dyDescent="0.2">
      <c r="B155" s="103"/>
      <c r="C155" s="479"/>
      <c r="D155" s="472"/>
      <c r="E155" s="472"/>
      <c r="F155" s="430"/>
      <c r="G155" s="449"/>
      <c r="I155" s="403"/>
      <c r="J155" s="403"/>
      <c r="K155" s="403"/>
    </row>
    <row r="156" spans="2:11" s="415" customFormat="1" x14ac:dyDescent="0.2">
      <c r="B156" s="100" t="s">
        <v>180</v>
      </c>
      <c r="C156" s="479"/>
      <c r="D156" s="472"/>
      <c r="E156" s="472"/>
      <c r="F156" s="430"/>
      <c r="G156" s="449"/>
      <c r="I156" s="403"/>
      <c r="J156" s="403"/>
      <c r="K156" s="403"/>
    </row>
    <row r="157" spans="2:11" s="415" customFormat="1" x14ac:dyDescent="0.2">
      <c r="B157" s="103" t="s">
        <v>153</v>
      </c>
      <c r="C157" s="452">
        <f t="shared" ref="C157" si="14">D157/$C$12*2000</f>
        <v>0.37071721711940592</v>
      </c>
      <c r="D157" s="481">
        <f>E157*$C$16/2000</f>
        <v>1.623741410982998</v>
      </c>
      <c r="E157" s="481">
        <v>4.5599999999999996</v>
      </c>
      <c r="F157" s="430" t="s">
        <v>203</v>
      </c>
      <c r="G157" s="449" t="s">
        <v>253</v>
      </c>
      <c r="I157" s="403"/>
      <c r="J157" s="403"/>
      <c r="K157" s="403"/>
    </row>
    <row r="158" spans="2:11" s="415" customFormat="1" ht="15.75" x14ac:dyDescent="0.3">
      <c r="B158" s="103" t="s">
        <v>181</v>
      </c>
      <c r="C158" s="479">
        <f t="shared" si="13"/>
        <v>2.6828219659957007E-3</v>
      </c>
      <c r="D158" s="472">
        <f>E158*$C$16/2000</f>
        <v>1.1750760211061169E-2</v>
      </c>
      <c r="E158" s="472">
        <v>3.3000000000000002E-2</v>
      </c>
      <c r="F158" s="430" t="s">
        <v>203</v>
      </c>
      <c r="G158" s="449" t="s">
        <v>253</v>
      </c>
      <c r="I158" s="403"/>
      <c r="J158" s="403"/>
      <c r="K158" s="403"/>
    </row>
    <row r="159" spans="2:11" s="415" customFormat="1" x14ac:dyDescent="0.2">
      <c r="B159" s="103" t="s">
        <v>182</v>
      </c>
      <c r="C159" s="479">
        <f t="shared" si="13"/>
        <v>5.2843462966581985E-3</v>
      </c>
      <c r="D159" s="472">
        <f t="shared" ref="D159:D160" si="15">E159*$C$16/2000</f>
        <v>2.3145436779362909E-2</v>
      </c>
      <c r="E159" s="472">
        <v>6.5000000000000002E-2</v>
      </c>
      <c r="F159" s="430" t="s">
        <v>203</v>
      </c>
      <c r="G159" s="449" t="s">
        <v>253</v>
      </c>
      <c r="I159" s="403"/>
      <c r="J159" s="403"/>
      <c r="K159" s="403"/>
    </row>
    <row r="160" spans="2:11" s="415" customFormat="1" ht="15.75" x14ac:dyDescent="0.3">
      <c r="B160" s="103" t="s">
        <v>221</v>
      </c>
      <c r="C160" s="479">
        <f t="shared" si="13"/>
        <v>1.2601133476646473E-2</v>
      </c>
      <c r="D160" s="472">
        <f t="shared" si="15"/>
        <v>5.5192964627711553E-2</v>
      </c>
      <c r="E160" s="472">
        <v>0.155</v>
      </c>
      <c r="F160" s="430" t="s">
        <v>203</v>
      </c>
      <c r="G160" s="449" t="s">
        <v>253</v>
      </c>
      <c r="I160" s="403"/>
      <c r="J160" s="403"/>
      <c r="K160" s="403"/>
    </row>
    <row r="161" spans="2:11" s="415" customFormat="1" x14ac:dyDescent="0.2">
      <c r="B161" s="100"/>
      <c r="C161" s="105"/>
      <c r="D161" s="471"/>
      <c r="E161" s="453"/>
      <c r="F161" s="469"/>
      <c r="G161" s="449"/>
      <c r="I161" s="403"/>
      <c r="J161" s="403"/>
      <c r="K161" s="403"/>
    </row>
    <row r="162" spans="2:11" s="415" customFormat="1" x14ac:dyDescent="0.2">
      <c r="B162" s="446" t="s">
        <v>194</v>
      </c>
      <c r="C162" s="447"/>
      <c r="D162" s="111"/>
      <c r="E162" s="112"/>
      <c r="F162" s="430"/>
      <c r="G162" s="449"/>
      <c r="I162" s="403"/>
      <c r="J162" s="403"/>
      <c r="K162" s="403"/>
    </row>
    <row r="163" spans="2:11" s="415" customFormat="1" ht="15.75" x14ac:dyDescent="0.2">
      <c r="B163" s="113" t="s">
        <v>195</v>
      </c>
      <c r="C163" s="114">
        <f>D163/$C$12*2000</f>
        <v>10321.829613930106</v>
      </c>
      <c r="D163" s="475">
        <v>45209.613709013865</v>
      </c>
      <c r="E163" s="116">
        <v>118.77955530865741</v>
      </c>
      <c r="F163" s="459" t="s">
        <v>205</v>
      </c>
      <c r="G163" s="460" t="s">
        <v>222</v>
      </c>
      <c r="I163" s="403"/>
      <c r="J163" s="403"/>
      <c r="K163" s="403"/>
    </row>
    <row r="164" spans="2:11" s="415" customFormat="1" ht="15.75" x14ac:dyDescent="0.2">
      <c r="B164" s="113" t="s">
        <v>196</v>
      </c>
      <c r="C164" s="452">
        <f>D164/$C$12*2000</f>
        <v>5.0625190190037798E-2</v>
      </c>
      <c r="D164" s="475">
        <v>0.22173833303236556</v>
      </c>
      <c r="E164" s="127">
        <v>1.2169516872605241E-3</v>
      </c>
      <c r="F164" s="459" t="s">
        <v>205</v>
      </c>
      <c r="G164" s="460" t="s">
        <v>223</v>
      </c>
      <c r="I164" s="480"/>
      <c r="J164" s="403"/>
      <c r="K164" s="403"/>
    </row>
    <row r="165" spans="2:11" s="415" customFormat="1" ht="15.75" x14ac:dyDescent="0.2">
      <c r="B165" s="113" t="s">
        <v>197</v>
      </c>
      <c r="C165" s="452">
        <f>D165/$C$12*2000</f>
        <v>1.0546914622924545E-2</v>
      </c>
      <c r="D165" s="475">
        <v>4.61954860484095E-2</v>
      </c>
      <c r="E165" s="128">
        <v>2.5353160151260918E-4</v>
      </c>
      <c r="F165" s="459" t="s">
        <v>205</v>
      </c>
      <c r="G165" s="460" t="s">
        <v>223</v>
      </c>
      <c r="I165" s="403"/>
      <c r="J165" s="403"/>
      <c r="K165" s="403"/>
    </row>
    <row r="166" spans="2:11" s="415" customFormat="1" ht="15.75" x14ac:dyDescent="0.2">
      <c r="B166" s="113" t="s">
        <v>198</v>
      </c>
      <c r="C166" s="114">
        <f>D166/$C$12*2000</f>
        <v>10326.23822424249</v>
      </c>
      <c r="D166" s="123">
        <v>45228.923422182103</v>
      </c>
      <c r="E166" s="124" t="s">
        <v>199</v>
      </c>
      <c r="F166" s="474" t="s">
        <v>199</v>
      </c>
      <c r="G166" s="449" t="s">
        <v>200</v>
      </c>
      <c r="I166" s="403"/>
      <c r="J166" s="403"/>
      <c r="K166" s="403"/>
    </row>
    <row r="167" spans="2:11" s="415" customFormat="1" ht="6" customHeight="1" thickBot="1" x14ac:dyDescent="0.25">
      <c r="B167" s="441"/>
      <c r="C167" s="476"/>
      <c r="D167" s="477"/>
      <c r="E167" s="478"/>
      <c r="F167" s="478"/>
      <c r="G167" s="445"/>
      <c r="I167" s="403"/>
      <c r="J167" s="403"/>
      <c r="K167" s="403"/>
    </row>
    <row r="168" spans="2:11" ht="6" customHeight="1" x14ac:dyDescent="0.2">
      <c r="H168" s="401"/>
    </row>
  </sheetData>
  <mergeCells count="2">
    <mergeCell ref="I21:K21"/>
    <mergeCell ref="I88:K88"/>
  </mergeCells>
  <pageMargins left="0.2" right="0.2" top="0.25" bottom="0.25" header="0.05" footer="0.05"/>
  <pageSetup scale="60" fitToHeight="3" orientation="portrait" horizontalDpi="1200" verticalDpi="1200" r:id="rId1"/>
  <rowBreaks count="1" manualBreakCount="1">
    <brk id="142" max="6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6A3AC-AF3E-40CA-A59D-A3B868175E51}">
  <sheetPr>
    <tabColor rgb="FF92D050"/>
  </sheetPr>
  <dimension ref="B1:L168"/>
  <sheetViews>
    <sheetView workbookViewId="0">
      <selection activeCell="L32" sqref="L31:L32"/>
    </sheetView>
  </sheetViews>
  <sheetFormatPr defaultColWidth="9.140625" defaultRowHeight="12.75" x14ac:dyDescent="0.2"/>
  <cols>
    <col min="1" max="1" width="2.42578125" style="401" customWidth="1"/>
    <col min="2" max="2" width="39.85546875" style="401" customWidth="1"/>
    <col min="3" max="3" width="11.7109375" style="401" customWidth="1"/>
    <col min="4" max="4" width="9.85546875" style="401" bestFit="1" customWidth="1"/>
    <col min="5" max="5" width="9.7109375" style="401" bestFit="1" customWidth="1"/>
    <col min="6" max="6" width="10.28515625" style="401" bestFit="1" customWidth="1"/>
    <col min="7" max="7" width="59.42578125" style="402" bestFit="1" customWidth="1"/>
    <col min="8" max="8" width="10.42578125" style="403" bestFit="1" customWidth="1"/>
    <col min="9" max="11" width="9.140625" style="403"/>
    <col min="12" max="16384" width="9.140625" style="401"/>
  </cols>
  <sheetData>
    <row r="1" spans="2:11" ht="11.25" customHeight="1" x14ac:dyDescent="0.2"/>
    <row r="2" spans="2:11" s="406" customFormat="1" x14ac:dyDescent="0.2">
      <c r="B2" s="404" t="s">
        <v>0</v>
      </c>
      <c r="C2" s="405" t="s">
        <v>1</v>
      </c>
      <c r="F2" s="404"/>
      <c r="G2" s="407"/>
      <c r="H2" s="408"/>
      <c r="I2" s="408"/>
      <c r="J2" s="408"/>
      <c r="K2" s="408"/>
    </row>
    <row r="3" spans="2:11" s="406" customFormat="1" x14ac:dyDescent="0.2">
      <c r="B3" s="404" t="s">
        <v>3</v>
      </c>
      <c r="C3" s="405" t="s">
        <v>4</v>
      </c>
      <c r="F3" s="404"/>
      <c r="G3" s="407"/>
      <c r="H3" s="408"/>
      <c r="I3" s="408"/>
      <c r="J3" s="408"/>
      <c r="K3" s="408"/>
    </row>
    <row r="4" spans="2:11" s="406" customFormat="1" x14ac:dyDescent="0.2">
      <c r="B4" s="404" t="s">
        <v>5</v>
      </c>
      <c r="C4" s="405" t="s">
        <v>310</v>
      </c>
      <c r="F4" s="404"/>
      <c r="G4" s="407"/>
      <c r="H4" s="408"/>
      <c r="I4" s="408"/>
      <c r="J4" s="408"/>
      <c r="K4" s="408"/>
    </row>
    <row r="5" spans="2:11" s="406" customFormat="1" x14ac:dyDescent="0.2">
      <c r="B5" s="404" t="s">
        <v>311</v>
      </c>
      <c r="C5" s="409">
        <v>44351</v>
      </c>
      <c r="F5" s="404"/>
      <c r="G5" s="407"/>
      <c r="H5" s="408"/>
      <c r="I5" s="408"/>
      <c r="J5" s="408"/>
      <c r="K5" s="408"/>
    </row>
    <row r="6" spans="2:11" s="406" customFormat="1" x14ac:dyDescent="0.2">
      <c r="B6" s="404"/>
      <c r="C6" s="404"/>
      <c r="D6" s="404"/>
      <c r="F6" s="404"/>
      <c r="G6" s="407"/>
      <c r="H6" s="408"/>
      <c r="I6" s="408"/>
      <c r="J6" s="408"/>
      <c r="K6" s="408"/>
    </row>
    <row r="7" spans="2:11" s="410" customFormat="1" x14ac:dyDescent="0.2">
      <c r="B7" s="368" t="s">
        <v>324</v>
      </c>
      <c r="C7" s="368"/>
      <c r="D7" s="368"/>
      <c r="F7" s="368"/>
      <c r="G7" s="411"/>
      <c r="H7" s="412"/>
      <c r="I7" s="412"/>
      <c r="J7" s="412"/>
      <c r="K7" s="412"/>
    </row>
    <row r="8" spans="2:11" s="415" customFormat="1" x14ac:dyDescent="0.2">
      <c r="B8" s="413"/>
      <c r="C8" s="414"/>
      <c r="G8" s="416"/>
      <c r="H8" s="403"/>
      <c r="I8" s="403"/>
      <c r="J8" s="403"/>
      <c r="K8" s="403"/>
    </row>
    <row r="9" spans="2:11" s="415" customFormat="1" x14ac:dyDescent="0.2">
      <c r="B9" s="417" t="s">
        <v>117</v>
      </c>
      <c r="C9" s="418" t="s">
        <v>325</v>
      </c>
      <c r="D9" s="417"/>
      <c r="G9" s="416"/>
      <c r="H9" s="403"/>
      <c r="I9" s="403"/>
      <c r="J9" s="403"/>
      <c r="K9" s="403"/>
    </row>
    <row r="10" spans="2:11" s="415" customFormat="1" x14ac:dyDescent="0.2">
      <c r="B10" s="417" t="s">
        <v>118</v>
      </c>
      <c r="C10" s="419" t="s">
        <v>26</v>
      </c>
      <c r="D10" s="417"/>
      <c r="G10" s="416"/>
      <c r="H10" s="403"/>
      <c r="I10" s="403"/>
      <c r="J10" s="403"/>
      <c r="K10" s="403"/>
    </row>
    <row r="11" spans="2:11" s="415" customFormat="1" x14ac:dyDescent="0.2">
      <c r="B11" s="417" t="s">
        <v>121</v>
      </c>
      <c r="C11" s="419" t="s">
        <v>314</v>
      </c>
      <c r="D11" s="417"/>
      <c r="G11" s="416"/>
      <c r="H11" s="403"/>
      <c r="I11" s="403"/>
      <c r="J11" s="403"/>
      <c r="K11" s="403"/>
    </row>
    <row r="12" spans="2:11" s="415" customFormat="1" x14ac:dyDescent="0.2">
      <c r="B12" s="417" t="s">
        <v>122</v>
      </c>
      <c r="C12" s="420">
        <v>8760</v>
      </c>
      <c r="D12" s="416" t="s">
        <v>123</v>
      </c>
      <c r="E12" s="421"/>
      <c r="G12" s="418"/>
      <c r="H12" s="403"/>
      <c r="I12" s="403"/>
      <c r="J12" s="403"/>
      <c r="K12" s="403"/>
    </row>
    <row r="13" spans="2:11" s="415" customFormat="1" x14ac:dyDescent="0.2">
      <c r="B13" s="417" t="s">
        <v>10</v>
      </c>
      <c r="C13" s="422" t="s">
        <v>16</v>
      </c>
      <c r="D13" s="416"/>
      <c r="E13" s="421"/>
      <c r="G13" s="418"/>
      <c r="H13" s="403"/>
      <c r="I13" s="403"/>
      <c r="J13" s="403"/>
      <c r="K13" s="403"/>
    </row>
    <row r="14" spans="2:11" s="415" customFormat="1" x14ac:dyDescent="0.2">
      <c r="B14" s="417" t="s">
        <v>129</v>
      </c>
      <c r="C14" s="423">
        <v>41.6</v>
      </c>
      <c r="D14" s="416" t="s">
        <v>17</v>
      </c>
      <c r="E14" s="421"/>
      <c r="G14" s="418"/>
      <c r="H14" s="403"/>
      <c r="I14" s="403"/>
      <c r="J14" s="403"/>
      <c r="K14" s="403"/>
    </row>
    <row r="15" spans="2:11" s="415" customFormat="1" x14ac:dyDescent="0.2">
      <c r="B15" s="417" t="s">
        <v>95</v>
      </c>
      <c r="C15" s="424">
        <v>340.92618579848437</v>
      </c>
      <c r="D15" s="416" t="s">
        <v>133</v>
      </c>
      <c r="E15" s="425"/>
      <c r="G15" s="418"/>
      <c r="H15" s="403"/>
      <c r="I15" s="426"/>
      <c r="J15" s="403"/>
      <c r="K15" s="403"/>
    </row>
    <row r="16" spans="2:11" s="415" customFormat="1" x14ac:dyDescent="0.2">
      <c r="B16" s="417" t="s">
        <v>97</v>
      </c>
      <c r="C16" s="424">
        <v>712.16728551885876</v>
      </c>
      <c r="D16" s="416" t="s">
        <v>133</v>
      </c>
      <c r="E16" s="425"/>
      <c r="G16" s="418"/>
      <c r="H16" s="403"/>
      <c r="I16" s="426"/>
      <c r="J16" s="403"/>
      <c r="K16" s="403"/>
    </row>
    <row r="17" spans="2:12" s="415" customFormat="1" x14ac:dyDescent="0.2">
      <c r="B17" s="417"/>
      <c r="C17" s="424"/>
      <c r="D17" s="416"/>
      <c r="G17" s="418"/>
      <c r="H17" s="403"/>
      <c r="I17" s="403"/>
      <c r="J17" s="403"/>
      <c r="K17" s="403"/>
    </row>
    <row r="18" spans="2:12" s="410" customFormat="1" x14ac:dyDescent="0.2">
      <c r="B18" s="427" t="s">
        <v>135</v>
      </c>
      <c r="C18" s="427"/>
      <c r="D18" s="427"/>
      <c r="E18" s="428"/>
      <c r="F18" s="427"/>
      <c r="G18" s="429"/>
      <c r="H18" s="403"/>
      <c r="I18" s="412"/>
      <c r="J18" s="412"/>
      <c r="K18" s="412"/>
    </row>
    <row r="19" spans="2:12" s="415" customFormat="1" ht="6" customHeight="1" thickBot="1" x14ac:dyDescent="0.25">
      <c r="D19" s="414"/>
      <c r="E19" s="430"/>
      <c r="F19" s="430"/>
      <c r="G19" s="416"/>
      <c r="I19" s="403"/>
      <c r="J19" s="403"/>
      <c r="K19" s="403"/>
    </row>
    <row r="20" spans="2:12" s="415" customFormat="1" ht="6" customHeight="1" x14ac:dyDescent="0.2">
      <c r="B20" s="431"/>
      <c r="C20" s="432"/>
      <c r="D20" s="433"/>
      <c r="E20" s="434"/>
      <c r="F20" s="434"/>
      <c r="G20" s="435"/>
      <c r="I20" s="403"/>
      <c r="J20" s="403"/>
      <c r="K20" s="403"/>
    </row>
    <row r="21" spans="2:12" s="439" customFormat="1" ht="38.25" x14ac:dyDescent="0.2">
      <c r="B21" s="436" t="s">
        <v>136</v>
      </c>
      <c r="C21" s="437" t="s">
        <v>137</v>
      </c>
      <c r="D21" s="437" t="s">
        <v>138</v>
      </c>
      <c r="E21" s="437" t="s">
        <v>139</v>
      </c>
      <c r="F21" s="437" t="s">
        <v>140</v>
      </c>
      <c r="G21" s="438" t="s">
        <v>141</v>
      </c>
      <c r="I21" s="594"/>
      <c r="J21" s="594"/>
      <c r="K21" s="594"/>
    </row>
    <row r="22" spans="2:12" s="415" customFormat="1" ht="6" customHeight="1" thickBot="1" x14ac:dyDescent="0.25">
      <c r="B22" s="441"/>
      <c r="C22" s="442"/>
      <c r="D22" s="443"/>
      <c r="E22" s="444"/>
      <c r="F22" s="444"/>
      <c r="G22" s="445"/>
      <c r="I22" s="403"/>
      <c r="J22" s="403"/>
      <c r="K22" s="403"/>
    </row>
    <row r="23" spans="2:12" s="415" customFormat="1" ht="6" customHeight="1" x14ac:dyDescent="0.2">
      <c r="B23" s="431"/>
      <c r="C23" s="432"/>
      <c r="D23" s="433"/>
      <c r="E23" s="434"/>
      <c r="F23" s="434"/>
      <c r="G23" s="435"/>
      <c r="I23" s="403"/>
      <c r="J23" s="403"/>
      <c r="K23" s="403"/>
    </row>
    <row r="24" spans="2:12" s="415" customFormat="1" x14ac:dyDescent="0.2">
      <c r="B24" s="446" t="s">
        <v>142</v>
      </c>
      <c r="C24" s="447"/>
      <c r="D24" s="448"/>
      <c r="E24" s="430"/>
      <c r="F24" s="430"/>
      <c r="G24" s="449"/>
      <c r="I24" s="450"/>
      <c r="J24" s="450"/>
      <c r="K24" s="450"/>
    </row>
    <row r="25" spans="2:12" s="415" customFormat="1" x14ac:dyDescent="0.2">
      <c r="B25" s="451" t="s">
        <v>143</v>
      </c>
      <c r="C25" s="452">
        <f t="shared" ref="C25:C32" si="0">D25*2000/$C$12</f>
        <v>0.83105022831050224</v>
      </c>
      <c r="D25" s="453">
        <v>3.64</v>
      </c>
      <c r="E25" s="454" t="s">
        <v>144</v>
      </c>
      <c r="F25" s="455" t="s">
        <v>144</v>
      </c>
      <c r="G25" s="456" t="s">
        <v>326</v>
      </c>
      <c r="I25" s="457"/>
      <c r="J25" s="457"/>
      <c r="K25" s="457"/>
    </row>
    <row r="26" spans="2:12" s="415" customFormat="1" ht="15.75" x14ac:dyDescent="0.2">
      <c r="B26" s="451" t="s">
        <v>316</v>
      </c>
      <c r="C26" s="452">
        <f t="shared" si="0"/>
        <v>0.83105022831050224</v>
      </c>
      <c r="D26" s="453">
        <v>3.64</v>
      </c>
      <c r="E26" s="454" t="s">
        <v>144</v>
      </c>
      <c r="F26" s="455" t="s">
        <v>144</v>
      </c>
      <c r="G26" s="456" t="s">
        <v>326</v>
      </c>
      <c r="I26" s="403"/>
      <c r="J26" s="403"/>
      <c r="K26" s="403"/>
    </row>
    <row r="27" spans="2:12" s="415" customFormat="1" ht="15.75" x14ac:dyDescent="0.2">
      <c r="B27" s="451" t="s">
        <v>317</v>
      </c>
      <c r="C27" s="452">
        <f t="shared" si="0"/>
        <v>0.83105022831050224</v>
      </c>
      <c r="D27" s="453">
        <f>D26</f>
        <v>3.64</v>
      </c>
      <c r="E27" s="454" t="s">
        <v>144</v>
      </c>
      <c r="F27" s="455" t="s">
        <v>144</v>
      </c>
      <c r="G27" s="456" t="s">
        <v>318</v>
      </c>
      <c r="I27" s="403"/>
      <c r="J27" s="403"/>
      <c r="K27" s="403"/>
    </row>
    <row r="28" spans="2:12" s="461" customFormat="1" ht="15" customHeight="1" x14ac:dyDescent="0.2">
      <c r="B28" s="451" t="s">
        <v>148</v>
      </c>
      <c r="C28" s="452">
        <f t="shared" si="0"/>
        <v>0.26421731483290989</v>
      </c>
      <c r="D28" s="453">
        <f>MAX(D92,D150)</f>
        <v>1.1572718389681453</v>
      </c>
      <c r="E28" s="458">
        <f>MAX(E92,E150)</f>
        <v>6.5549999999999997</v>
      </c>
      <c r="F28" s="459" t="s">
        <v>203</v>
      </c>
      <c r="G28" s="460" t="s">
        <v>319</v>
      </c>
      <c r="I28" s="457"/>
      <c r="J28" s="457"/>
      <c r="K28" s="457"/>
      <c r="L28" s="457"/>
    </row>
    <row r="29" spans="2:12" s="415" customFormat="1" ht="15.75" x14ac:dyDescent="0.2">
      <c r="B29" s="451" t="s">
        <v>149</v>
      </c>
      <c r="C29" s="452">
        <f t="shared" si="0"/>
        <v>6.6552511415525117</v>
      </c>
      <c r="D29" s="453">
        <v>29.15</v>
      </c>
      <c r="E29" s="454" t="s">
        <v>144</v>
      </c>
      <c r="F29" s="455" t="s">
        <v>144</v>
      </c>
      <c r="G29" s="456" t="s">
        <v>326</v>
      </c>
      <c r="I29" s="403"/>
      <c r="J29" s="403"/>
      <c r="K29" s="403"/>
    </row>
    <row r="30" spans="2:12" s="415" customFormat="1" x14ac:dyDescent="0.2">
      <c r="B30" s="451" t="s">
        <v>150</v>
      </c>
      <c r="C30" s="452">
        <f t="shared" si="0"/>
        <v>0.26255707762557079</v>
      </c>
      <c r="D30" s="453">
        <v>1.1499999999999999</v>
      </c>
      <c r="E30" s="454" t="s">
        <v>144</v>
      </c>
      <c r="F30" s="455" t="s">
        <v>144</v>
      </c>
      <c r="G30" s="456" t="s">
        <v>326</v>
      </c>
      <c r="I30" s="403"/>
      <c r="J30" s="403"/>
      <c r="K30" s="403"/>
    </row>
    <row r="31" spans="2:12" s="415" customFormat="1" ht="15.75" x14ac:dyDescent="0.2">
      <c r="B31" s="451" t="s">
        <v>151</v>
      </c>
      <c r="C31" s="452">
        <f t="shared" si="0"/>
        <v>8.2100456621004572</v>
      </c>
      <c r="D31" s="453">
        <v>35.96</v>
      </c>
      <c r="E31" s="454" t="s">
        <v>144</v>
      </c>
      <c r="F31" s="455" t="s">
        <v>144</v>
      </c>
      <c r="G31" s="462" t="s">
        <v>320</v>
      </c>
      <c r="I31" s="403"/>
      <c r="J31" s="403"/>
      <c r="K31" s="403"/>
    </row>
    <row r="32" spans="2:12" s="415" customFormat="1" x14ac:dyDescent="0.2">
      <c r="B32" s="451" t="s">
        <v>152</v>
      </c>
      <c r="C32" s="452">
        <f t="shared" si="0"/>
        <v>4.0182648401826482</v>
      </c>
      <c r="D32" s="453">
        <v>17.600000000000001</v>
      </c>
      <c r="E32" s="454" t="s">
        <v>144</v>
      </c>
      <c r="F32" s="455" t="s">
        <v>144</v>
      </c>
      <c r="G32" s="456" t="s">
        <v>326</v>
      </c>
      <c r="I32" s="403"/>
      <c r="J32" s="403"/>
      <c r="K32" s="403"/>
    </row>
    <row r="33" spans="2:11" s="461" customFormat="1" ht="15" customHeight="1" x14ac:dyDescent="0.2">
      <c r="B33" s="451" t="s">
        <v>153</v>
      </c>
      <c r="C33" s="452">
        <f>C157</f>
        <v>0.37071721711940592</v>
      </c>
      <c r="D33" s="453">
        <f t="shared" ref="D33:G33" si="1">D157</f>
        <v>1.623741410982998</v>
      </c>
      <c r="E33" s="463">
        <f t="shared" si="1"/>
        <v>4.5599999999999996</v>
      </c>
      <c r="F33" s="459" t="str">
        <f t="shared" si="1"/>
        <v>lb/MMscf</v>
      </c>
      <c r="G33" s="456" t="str">
        <f t="shared" si="1"/>
        <v>Clairton Stack Test (Jun-2000)</v>
      </c>
      <c r="I33" s="464"/>
      <c r="J33" s="457"/>
      <c r="K33" s="457"/>
    </row>
    <row r="34" spans="2:11" s="415" customFormat="1" x14ac:dyDescent="0.2">
      <c r="B34" s="451"/>
      <c r="C34" s="452"/>
      <c r="D34" s="453"/>
      <c r="E34" s="465"/>
      <c r="F34" s="459"/>
      <c r="G34" s="456"/>
      <c r="I34" s="403"/>
      <c r="J34" s="403"/>
      <c r="K34" s="403"/>
    </row>
    <row r="35" spans="2:11" s="415" customFormat="1" x14ac:dyDescent="0.2">
      <c r="B35" s="446" t="s">
        <v>154</v>
      </c>
      <c r="C35" s="447"/>
      <c r="D35" s="466"/>
      <c r="E35" s="467"/>
      <c r="F35" s="468"/>
      <c r="G35" s="449"/>
      <c r="I35" s="403"/>
      <c r="J35" s="403"/>
      <c r="K35" s="403"/>
    </row>
    <row r="36" spans="2:11" s="415" customFormat="1" x14ac:dyDescent="0.2">
      <c r="B36" s="100" t="s">
        <v>155</v>
      </c>
      <c r="C36" s="101"/>
      <c r="D36" s="466"/>
      <c r="E36" s="453"/>
      <c r="F36" s="469"/>
      <c r="G36" s="449"/>
      <c r="I36" s="403"/>
      <c r="J36" s="403"/>
      <c r="K36" s="403"/>
    </row>
    <row r="37" spans="2:11" s="53" customFormat="1" x14ac:dyDescent="0.2">
      <c r="B37" s="236" t="s">
        <v>156</v>
      </c>
      <c r="C37" s="246">
        <f>_xlfn.MAXIFS(C$92:C$197,$B$92:$B$197,$B37)</f>
        <v>1.074150996351389E-6</v>
      </c>
      <c r="D37" s="246">
        <f t="shared" ref="D37:D60" si="2">_xlfn.MAXIFS(D$92:D$197,$B$92:$B$197,$B37)</f>
        <v>4.7047813640190836E-6</v>
      </c>
      <c r="E37" s="340" t="s">
        <v>144</v>
      </c>
      <c r="F37" s="341" t="s">
        <v>144</v>
      </c>
      <c r="G37" s="342" t="s">
        <v>319</v>
      </c>
      <c r="H37" s="53" t="s">
        <v>238</v>
      </c>
      <c r="I37" s="41"/>
      <c r="J37" s="41"/>
      <c r="K37" s="41"/>
    </row>
    <row r="38" spans="2:11" s="53" customFormat="1" x14ac:dyDescent="0.2">
      <c r="B38" s="236" t="s">
        <v>157</v>
      </c>
      <c r="C38" s="246">
        <f t="shared" ref="C38:C60" si="3">_xlfn.MAXIFS(C$92:C$197,$B$92:$B$197,$B38)</f>
        <v>8.0561324726354178E-8</v>
      </c>
      <c r="D38" s="246">
        <f t="shared" si="2"/>
        <v>3.5285860230143129E-7</v>
      </c>
      <c r="E38" s="340" t="s">
        <v>144</v>
      </c>
      <c r="F38" s="341" t="s">
        <v>144</v>
      </c>
      <c r="G38" s="342" t="s">
        <v>319</v>
      </c>
      <c r="H38" s="53" t="s">
        <v>238</v>
      </c>
      <c r="I38" s="41"/>
      <c r="J38" s="41"/>
      <c r="K38" s="41"/>
    </row>
    <row r="39" spans="2:11" s="53" customFormat="1" x14ac:dyDescent="0.2">
      <c r="B39" s="236" t="s">
        <v>158</v>
      </c>
      <c r="C39" s="246">
        <f t="shared" si="3"/>
        <v>7.1610066423425934E-7</v>
      </c>
      <c r="D39" s="246">
        <f t="shared" si="2"/>
        <v>3.1365209093460556E-6</v>
      </c>
      <c r="E39" s="340" t="s">
        <v>144</v>
      </c>
      <c r="F39" s="341" t="s">
        <v>144</v>
      </c>
      <c r="G39" s="342" t="s">
        <v>319</v>
      </c>
      <c r="H39" s="53" t="s">
        <v>238</v>
      </c>
      <c r="I39" s="41"/>
      <c r="J39" s="41"/>
      <c r="K39" s="41"/>
    </row>
    <row r="40" spans="2:11" s="53" customFormat="1" x14ac:dyDescent="0.2">
      <c r="B40" s="236" t="s">
        <v>159</v>
      </c>
      <c r="C40" s="246">
        <f t="shared" si="3"/>
        <v>8.0561324726354178E-8</v>
      </c>
      <c r="D40" s="246">
        <f t="shared" si="2"/>
        <v>3.5285860230143129E-7</v>
      </c>
      <c r="E40" s="340" t="s">
        <v>144</v>
      </c>
      <c r="F40" s="341" t="s">
        <v>144</v>
      </c>
      <c r="G40" s="342" t="s">
        <v>319</v>
      </c>
      <c r="H40" s="53" t="s">
        <v>238</v>
      </c>
      <c r="I40" s="41"/>
      <c r="J40" s="41"/>
      <c r="K40" s="41"/>
    </row>
    <row r="41" spans="2:11" s="53" customFormat="1" x14ac:dyDescent="0.2">
      <c r="B41" s="236" t="s">
        <v>160</v>
      </c>
      <c r="C41" s="246">
        <f t="shared" si="3"/>
        <v>8.0561324726354178E-8</v>
      </c>
      <c r="D41" s="246">
        <f t="shared" si="2"/>
        <v>3.5285860230143129E-7</v>
      </c>
      <c r="E41" s="340" t="s">
        <v>144</v>
      </c>
      <c r="F41" s="341" t="s">
        <v>144</v>
      </c>
      <c r="G41" s="342" t="s">
        <v>319</v>
      </c>
      <c r="H41" s="53" t="s">
        <v>238</v>
      </c>
      <c r="I41" s="41"/>
      <c r="J41" s="41"/>
      <c r="K41" s="41"/>
    </row>
    <row r="42" spans="2:11" s="53" customFormat="1" x14ac:dyDescent="0.2">
      <c r="B42" s="236" t="s">
        <v>161</v>
      </c>
      <c r="C42" s="246">
        <f t="shared" si="3"/>
        <v>1.0741509963513891E-7</v>
      </c>
      <c r="D42" s="246">
        <f t="shared" si="2"/>
        <v>4.7047813640190843E-7</v>
      </c>
      <c r="E42" s="340" t="s">
        <v>144</v>
      </c>
      <c r="F42" s="341" t="s">
        <v>144</v>
      </c>
      <c r="G42" s="342" t="s">
        <v>319</v>
      </c>
      <c r="H42" s="53" t="s">
        <v>238</v>
      </c>
      <c r="I42" s="41"/>
      <c r="J42" s="41"/>
      <c r="K42" s="41"/>
    </row>
    <row r="43" spans="2:11" s="53" customFormat="1" x14ac:dyDescent="0.2">
      <c r="B43" s="236" t="s">
        <v>162</v>
      </c>
      <c r="C43" s="246">
        <f t="shared" si="3"/>
        <v>8.0561324726354178E-8</v>
      </c>
      <c r="D43" s="246">
        <f t="shared" si="2"/>
        <v>3.5285860230143129E-7</v>
      </c>
      <c r="E43" s="340" t="s">
        <v>144</v>
      </c>
      <c r="F43" s="341" t="s">
        <v>144</v>
      </c>
      <c r="G43" s="342" t="s">
        <v>319</v>
      </c>
      <c r="H43" s="53" t="s">
        <v>240</v>
      </c>
      <c r="I43" s="41"/>
      <c r="J43" s="41"/>
      <c r="K43" s="41"/>
    </row>
    <row r="44" spans="2:11" s="53" customFormat="1" x14ac:dyDescent="0.2">
      <c r="B44" s="236" t="s">
        <v>163</v>
      </c>
      <c r="C44" s="246">
        <f t="shared" si="3"/>
        <v>1.8698456126636704E-3</v>
      </c>
      <c r="D44" s="246">
        <f t="shared" si="2"/>
        <v>8.1899237834668764E-3</v>
      </c>
      <c r="E44" s="340" t="s">
        <v>144</v>
      </c>
      <c r="F44" s="341" t="s">
        <v>144</v>
      </c>
      <c r="G44" s="342" t="s">
        <v>319</v>
      </c>
      <c r="H44" s="53" t="s">
        <v>238</v>
      </c>
      <c r="I44" s="41"/>
      <c r="J44" s="41"/>
      <c r="K44" s="41"/>
    </row>
    <row r="45" spans="2:11" s="53" customFormat="1" x14ac:dyDescent="0.2">
      <c r="B45" s="236" t="s">
        <v>164</v>
      </c>
      <c r="C45" s="246">
        <f t="shared" si="3"/>
        <v>5.3707549817569454E-8</v>
      </c>
      <c r="D45" s="246">
        <f t="shared" si="2"/>
        <v>2.3523906820095421E-7</v>
      </c>
      <c r="E45" s="340" t="s">
        <v>144</v>
      </c>
      <c r="F45" s="341" t="s">
        <v>144</v>
      </c>
      <c r="G45" s="342" t="s">
        <v>319</v>
      </c>
      <c r="H45" s="53" t="s">
        <v>240</v>
      </c>
      <c r="I45" s="41"/>
      <c r="J45" s="41"/>
      <c r="K45" s="41"/>
    </row>
    <row r="46" spans="2:11" s="53" customFormat="1" x14ac:dyDescent="0.2">
      <c r="B46" s="236" t="s">
        <v>165</v>
      </c>
      <c r="C46" s="246">
        <f t="shared" si="3"/>
        <v>8.0561324726354178E-8</v>
      </c>
      <c r="D46" s="246">
        <f t="shared" si="2"/>
        <v>3.5285860230143129E-7</v>
      </c>
      <c r="E46" s="340" t="s">
        <v>144</v>
      </c>
      <c r="F46" s="341" t="s">
        <v>144</v>
      </c>
      <c r="G46" s="342" t="s">
        <v>319</v>
      </c>
      <c r="H46" s="53" t="s">
        <v>240</v>
      </c>
      <c r="I46" s="41"/>
      <c r="J46" s="41"/>
      <c r="K46" s="41"/>
    </row>
    <row r="47" spans="2:11" s="53" customFormat="1" x14ac:dyDescent="0.2">
      <c r="B47" s="236" t="s">
        <v>166</v>
      </c>
      <c r="C47" s="246">
        <f t="shared" si="3"/>
        <v>5.3707549817569454E-8</v>
      </c>
      <c r="D47" s="246">
        <f t="shared" si="2"/>
        <v>2.3523906820095421E-7</v>
      </c>
      <c r="E47" s="340" t="s">
        <v>144</v>
      </c>
      <c r="F47" s="341" t="s">
        <v>144</v>
      </c>
      <c r="G47" s="342" t="s">
        <v>319</v>
      </c>
      <c r="H47" s="53" t="s">
        <v>240</v>
      </c>
      <c r="I47" s="41"/>
      <c r="J47" s="41"/>
      <c r="K47" s="41"/>
    </row>
    <row r="48" spans="2:11" s="53" customFormat="1" x14ac:dyDescent="0.2">
      <c r="B48" s="236" t="s">
        <v>167</v>
      </c>
      <c r="C48" s="246">
        <f t="shared" si="3"/>
        <v>8.0561324726354178E-8</v>
      </c>
      <c r="D48" s="246">
        <f t="shared" si="2"/>
        <v>3.5285860230143129E-7</v>
      </c>
      <c r="E48" s="340" t="s">
        <v>144</v>
      </c>
      <c r="F48" s="341" t="s">
        <v>144</v>
      </c>
      <c r="G48" s="342" t="s">
        <v>319</v>
      </c>
      <c r="H48" s="53" t="s">
        <v>240</v>
      </c>
      <c r="I48" s="41"/>
      <c r="J48" s="41"/>
      <c r="K48" s="41"/>
    </row>
    <row r="49" spans="2:11" s="53" customFormat="1" x14ac:dyDescent="0.2">
      <c r="B49" s="236" t="s">
        <v>168</v>
      </c>
      <c r="C49" s="246">
        <f t="shared" si="3"/>
        <v>8.0561324726354178E-8</v>
      </c>
      <c r="D49" s="246">
        <f t="shared" si="2"/>
        <v>3.5285860230143129E-7</v>
      </c>
      <c r="E49" s="340" t="s">
        <v>144</v>
      </c>
      <c r="F49" s="341" t="s">
        <v>144</v>
      </c>
      <c r="G49" s="342" t="s">
        <v>319</v>
      </c>
      <c r="H49" s="53" t="s">
        <v>240</v>
      </c>
      <c r="I49" s="41"/>
      <c r="J49" s="41"/>
      <c r="K49" s="41"/>
    </row>
    <row r="50" spans="2:11" s="53" customFormat="1" x14ac:dyDescent="0.2">
      <c r="B50" s="236" t="s">
        <v>169</v>
      </c>
      <c r="C50" s="246">
        <f t="shared" si="3"/>
        <v>5.3707549817569454E-8</v>
      </c>
      <c r="D50" s="246">
        <f t="shared" si="2"/>
        <v>2.3523906820095421E-7</v>
      </c>
      <c r="E50" s="340" t="s">
        <v>144</v>
      </c>
      <c r="F50" s="341" t="s">
        <v>144</v>
      </c>
      <c r="G50" s="342" t="s">
        <v>319</v>
      </c>
      <c r="H50" s="53" t="s">
        <v>240</v>
      </c>
      <c r="I50" s="41"/>
      <c r="J50" s="41"/>
      <c r="K50" s="41"/>
    </row>
    <row r="51" spans="2:11" s="53" customFormat="1" x14ac:dyDescent="0.2">
      <c r="B51" s="236" t="s">
        <v>170</v>
      </c>
      <c r="C51" s="246">
        <f t="shared" si="3"/>
        <v>5.3707549817569443E-5</v>
      </c>
      <c r="D51" s="246">
        <f t="shared" si="2"/>
        <v>2.3523906820095418E-4</v>
      </c>
      <c r="E51" s="340" t="s">
        <v>144</v>
      </c>
      <c r="F51" s="341" t="s">
        <v>144</v>
      </c>
      <c r="G51" s="342" t="s">
        <v>319</v>
      </c>
      <c r="H51" s="53" t="s">
        <v>240</v>
      </c>
      <c r="I51" s="41"/>
      <c r="J51" s="41"/>
      <c r="K51" s="41"/>
    </row>
    <row r="52" spans="2:11" s="53" customFormat="1" x14ac:dyDescent="0.2">
      <c r="B52" s="236" t="s">
        <v>171</v>
      </c>
      <c r="C52" s="246">
        <f t="shared" si="3"/>
        <v>1.3426887454392363E-7</v>
      </c>
      <c r="D52" s="246">
        <f t="shared" si="2"/>
        <v>5.8809767050238546E-7</v>
      </c>
      <c r="E52" s="340" t="s">
        <v>144</v>
      </c>
      <c r="F52" s="341" t="s">
        <v>144</v>
      </c>
      <c r="G52" s="342" t="s">
        <v>319</v>
      </c>
      <c r="H52" s="53" t="s">
        <v>240</v>
      </c>
      <c r="I52" s="41"/>
      <c r="J52" s="41"/>
      <c r="K52" s="41"/>
    </row>
    <row r="53" spans="2:11" s="53" customFormat="1" x14ac:dyDescent="0.2">
      <c r="B53" s="236" t="s">
        <v>172</v>
      </c>
      <c r="C53" s="246">
        <f t="shared" si="3"/>
        <v>1.2531761624099537E-7</v>
      </c>
      <c r="D53" s="246">
        <f t="shared" si="2"/>
        <v>5.4889115913555974E-7</v>
      </c>
      <c r="E53" s="340" t="s">
        <v>144</v>
      </c>
      <c r="F53" s="341" t="s">
        <v>144</v>
      </c>
      <c r="G53" s="342" t="s">
        <v>319</v>
      </c>
      <c r="H53" s="53" t="s">
        <v>240</v>
      </c>
      <c r="I53" s="41"/>
      <c r="J53" s="41"/>
      <c r="K53" s="41"/>
    </row>
    <row r="54" spans="2:11" s="53" customFormat="1" x14ac:dyDescent="0.2">
      <c r="B54" s="236" t="s">
        <v>173</v>
      </c>
      <c r="C54" s="246">
        <f t="shared" si="3"/>
        <v>3.3567218635980906E-3</v>
      </c>
      <c r="D54" s="246">
        <f t="shared" si="2"/>
        <v>1.4702441762559637E-2</v>
      </c>
      <c r="E54" s="340" t="s">
        <v>144</v>
      </c>
      <c r="F54" s="341" t="s">
        <v>144</v>
      </c>
      <c r="G54" s="342" t="s">
        <v>319</v>
      </c>
      <c r="H54" s="53" t="s">
        <v>238</v>
      </c>
      <c r="I54" s="41"/>
      <c r="J54" s="41"/>
      <c r="K54" s="41"/>
    </row>
    <row r="55" spans="2:11" s="415" customFormat="1" x14ac:dyDescent="0.2">
      <c r="B55" s="103" t="s">
        <v>174</v>
      </c>
      <c r="C55" s="246">
        <f t="shared" si="3"/>
        <v>8.0561324726354175E-2</v>
      </c>
      <c r="D55" s="246">
        <f t="shared" si="2"/>
        <v>0.35285860230143129</v>
      </c>
      <c r="E55" s="470">
        <f>E114</f>
        <v>2.0699999999999998</v>
      </c>
      <c r="F55" s="430" t="s">
        <v>203</v>
      </c>
      <c r="G55" s="449" t="s">
        <v>319</v>
      </c>
      <c r="H55" s="415" t="s">
        <v>238</v>
      </c>
      <c r="I55" s="403"/>
      <c r="J55" s="41"/>
      <c r="K55" s="403"/>
    </row>
    <row r="56" spans="2:11" s="53" customFormat="1" x14ac:dyDescent="0.2">
      <c r="B56" s="236" t="s">
        <v>175</v>
      </c>
      <c r="C56" s="246">
        <f t="shared" si="3"/>
        <v>5.1917298156983807E-10</v>
      </c>
      <c r="D56" s="246">
        <f t="shared" si="2"/>
        <v>2.2739776592758906E-9</v>
      </c>
      <c r="E56" s="340" t="s">
        <v>144</v>
      </c>
      <c r="F56" s="341" t="s">
        <v>144</v>
      </c>
      <c r="G56" s="342" t="s">
        <v>319</v>
      </c>
      <c r="H56" s="53" t="s">
        <v>240</v>
      </c>
      <c r="I56" s="41"/>
      <c r="J56" s="41"/>
      <c r="K56" s="41"/>
    </row>
    <row r="57" spans="2:11" s="53" customFormat="1" x14ac:dyDescent="0.2">
      <c r="B57" s="236" t="s">
        <v>176</v>
      </c>
      <c r="C57" s="246">
        <f t="shared" si="3"/>
        <v>1.7544466273739352E-7</v>
      </c>
      <c r="D57" s="246">
        <f t="shared" si="2"/>
        <v>7.6844762278978366E-7</v>
      </c>
      <c r="E57" s="340" t="s">
        <v>144</v>
      </c>
      <c r="F57" s="341" t="s">
        <v>144</v>
      </c>
      <c r="G57" s="342" t="s">
        <v>319</v>
      </c>
      <c r="H57" s="53" t="s">
        <v>240</v>
      </c>
      <c r="I57" s="41"/>
      <c r="J57" s="41"/>
      <c r="K57" s="41"/>
    </row>
    <row r="58" spans="2:11" s="53" customFormat="1" x14ac:dyDescent="0.2">
      <c r="B58" s="236" t="s">
        <v>177</v>
      </c>
      <c r="C58" s="246">
        <f t="shared" si="3"/>
        <v>4.878435775095892E-9</v>
      </c>
      <c r="D58" s="246">
        <f t="shared" si="2"/>
        <v>2.1367548694920006E-8</v>
      </c>
      <c r="E58" s="340" t="s">
        <v>144</v>
      </c>
      <c r="F58" s="341" t="s">
        <v>144</v>
      </c>
      <c r="G58" s="342" t="s">
        <v>319</v>
      </c>
      <c r="H58" s="53" t="s">
        <v>240</v>
      </c>
      <c r="I58" s="41"/>
      <c r="J58" s="41"/>
      <c r="K58" s="41"/>
    </row>
    <row r="59" spans="2:11" s="53" customFormat="1" x14ac:dyDescent="0.2">
      <c r="B59" s="236" t="s">
        <v>178</v>
      </c>
      <c r="C59" s="246">
        <f t="shared" si="3"/>
        <v>1.4366769576199829E-9</v>
      </c>
      <c r="D59" s="246">
        <f t="shared" si="2"/>
        <v>6.2926450743755252E-9</v>
      </c>
      <c r="E59" s="340" t="s">
        <v>144</v>
      </c>
      <c r="F59" s="341" t="s">
        <v>144</v>
      </c>
      <c r="G59" s="342" t="s">
        <v>319</v>
      </c>
      <c r="H59" s="53" t="s">
        <v>240</v>
      </c>
      <c r="I59" s="41"/>
      <c r="J59" s="41"/>
      <c r="K59" s="41"/>
    </row>
    <row r="60" spans="2:11" s="53" customFormat="1" x14ac:dyDescent="0.2">
      <c r="B60" s="236" t="s">
        <v>179</v>
      </c>
      <c r="C60" s="246">
        <f t="shared" si="3"/>
        <v>9.7568715501917844E-7</v>
      </c>
      <c r="D60" s="246">
        <f t="shared" si="2"/>
        <v>4.2735097389840018E-6</v>
      </c>
      <c r="E60" s="340" t="s">
        <v>144</v>
      </c>
      <c r="F60" s="341" t="s">
        <v>144</v>
      </c>
      <c r="G60" s="342" t="s">
        <v>319</v>
      </c>
      <c r="H60" s="53" t="s">
        <v>238</v>
      </c>
      <c r="I60" s="41"/>
      <c r="J60" s="41"/>
      <c r="K60" s="41"/>
    </row>
    <row r="61" spans="2:11" s="415" customFormat="1" x14ac:dyDescent="0.2">
      <c r="B61" s="100"/>
      <c r="C61" s="105"/>
      <c r="D61" s="471"/>
      <c r="E61" s="453"/>
      <c r="F61" s="469"/>
      <c r="G61" s="449"/>
      <c r="K61" s="403"/>
    </row>
    <row r="62" spans="2:11" s="415" customFormat="1" x14ac:dyDescent="0.2">
      <c r="B62" s="100" t="s">
        <v>180</v>
      </c>
      <c r="C62" s="105"/>
      <c r="D62" s="471"/>
      <c r="E62" s="453"/>
      <c r="F62" s="469"/>
      <c r="G62" s="449"/>
      <c r="K62" s="403"/>
    </row>
    <row r="63" spans="2:11" s="415" customFormat="1" ht="15.75" x14ac:dyDescent="0.3">
      <c r="B63" s="103" t="s">
        <v>181</v>
      </c>
      <c r="C63" s="246">
        <f t="shared" ref="C63:D65" si="4">_xlfn.MAXIFS(C$92:C$197,$B$92:$B$197,$B63)</f>
        <v>2.6828219659957007E-3</v>
      </c>
      <c r="D63" s="246">
        <f t="shared" si="4"/>
        <v>1.1750760211061169E-2</v>
      </c>
      <c r="E63" s="472">
        <f>E158</f>
        <v>3.3000000000000002E-2</v>
      </c>
      <c r="F63" s="430" t="s">
        <v>203</v>
      </c>
      <c r="G63" s="449" t="s">
        <v>319</v>
      </c>
      <c r="H63" s="415" t="s">
        <v>238</v>
      </c>
      <c r="I63" s="403"/>
      <c r="J63" s="41"/>
      <c r="K63" s="403"/>
    </row>
    <row r="64" spans="2:11" s="415" customFormat="1" x14ac:dyDescent="0.2">
      <c r="B64" s="103" t="s">
        <v>182</v>
      </c>
      <c r="C64" s="246">
        <f t="shared" si="4"/>
        <v>5.2843462966581985E-3</v>
      </c>
      <c r="D64" s="246">
        <f t="shared" si="4"/>
        <v>2.3145436779362909E-2</v>
      </c>
      <c r="E64" s="472">
        <f>E159</f>
        <v>6.5000000000000002E-2</v>
      </c>
      <c r="F64" s="430" t="s">
        <v>203</v>
      </c>
      <c r="G64" s="449" t="s">
        <v>319</v>
      </c>
      <c r="H64" s="415" t="s">
        <v>238</v>
      </c>
      <c r="I64" s="403"/>
      <c r="J64" s="41"/>
      <c r="K64" s="403"/>
    </row>
    <row r="65" spans="2:11" s="415" customFormat="1" x14ac:dyDescent="0.2">
      <c r="B65" s="103" t="s">
        <v>183</v>
      </c>
      <c r="C65" s="246">
        <f t="shared" si="4"/>
        <v>0.14322013284685187</v>
      </c>
      <c r="D65" s="246">
        <f t="shared" si="4"/>
        <v>0.62730418186921122</v>
      </c>
      <c r="E65" s="453">
        <f>MAX(E122,E160)</f>
        <v>3.6799999999999997</v>
      </c>
      <c r="F65" s="469" t="s">
        <v>203</v>
      </c>
      <c r="G65" s="449" t="s">
        <v>319</v>
      </c>
      <c r="H65" s="415" t="s">
        <v>238</v>
      </c>
      <c r="I65" s="403"/>
      <c r="J65" s="41"/>
      <c r="K65" s="403"/>
    </row>
    <row r="66" spans="2:11" s="415" customFormat="1" x14ac:dyDescent="0.2">
      <c r="B66" s="100"/>
      <c r="C66" s="105"/>
      <c r="D66" s="471"/>
      <c r="E66" s="453"/>
      <c r="F66" s="469"/>
      <c r="G66" s="449"/>
      <c r="J66" s="41"/>
      <c r="K66" s="403"/>
    </row>
    <row r="67" spans="2:11" s="415" customFormat="1" x14ac:dyDescent="0.2">
      <c r="B67" s="100" t="s">
        <v>184</v>
      </c>
      <c r="C67" s="105"/>
      <c r="D67" s="471"/>
      <c r="E67" s="453"/>
      <c r="F67" s="469"/>
      <c r="G67" s="449"/>
      <c r="J67" s="41"/>
      <c r="K67" s="403"/>
    </row>
    <row r="68" spans="2:11" s="415" customFormat="1" x14ac:dyDescent="0.2">
      <c r="B68" s="103" t="s">
        <v>66</v>
      </c>
      <c r="C68" s="246">
        <f t="shared" ref="C68:D77" si="5">_xlfn.MAXIFS(C$92:C$197,$B$92:$B$197,$B68)</f>
        <v>2.2378145757320606E-5</v>
      </c>
      <c r="D68" s="246">
        <f t="shared" si="5"/>
        <v>9.8016278417064256E-5</v>
      </c>
      <c r="E68" s="472">
        <f>E125</f>
        <v>5.7499999999999999E-4</v>
      </c>
      <c r="F68" s="430" t="s">
        <v>203</v>
      </c>
      <c r="G68" s="449" t="s">
        <v>319</v>
      </c>
      <c r="H68" s="415" t="s">
        <v>237</v>
      </c>
      <c r="I68" s="403"/>
      <c r="J68" s="41"/>
      <c r="K68" s="403"/>
    </row>
    <row r="69" spans="2:11" s="53" customFormat="1" x14ac:dyDescent="0.2">
      <c r="B69" s="236" t="s">
        <v>185</v>
      </c>
      <c r="C69" s="246">
        <f t="shared" si="5"/>
        <v>5.7288053138740745E-8</v>
      </c>
      <c r="D69" s="246">
        <f t="shared" si="5"/>
        <v>2.5092167274768446E-7</v>
      </c>
      <c r="E69" s="340" t="s">
        <v>144</v>
      </c>
      <c r="F69" s="341" t="s">
        <v>144</v>
      </c>
      <c r="G69" s="342" t="s">
        <v>319</v>
      </c>
      <c r="H69" s="415" t="s">
        <v>237</v>
      </c>
      <c r="I69" s="403"/>
      <c r="J69" s="41"/>
      <c r="K69" s="41"/>
    </row>
    <row r="70" spans="2:11" s="53" customFormat="1" x14ac:dyDescent="0.2">
      <c r="B70" s="236" t="s">
        <v>186</v>
      </c>
      <c r="C70" s="246">
        <f t="shared" si="5"/>
        <v>3.4462344466273735E-9</v>
      </c>
      <c r="D70" s="246">
        <f t="shared" si="5"/>
        <v>1.5094506876227895E-8</v>
      </c>
      <c r="E70" s="340" t="s">
        <v>144</v>
      </c>
      <c r="F70" s="341" t="s">
        <v>144</v>
      </c>
      <c r="G70" s="342" t="s">
        <v>319</v>
      </c>
      <c r="H70" s="415" t="s">
        <v>237</v>
      </c>
      <c r="I70" s="403"/>
      <c r="J70" s="41"/>
      <c r="K70" s="41"/>
    </row>
    <row r="71" spans="2:11" s="53" customFormat="1" x14ac:dyDescent="0.2">
      <c r="B71" s="236" t="s">
        <v>187</v>
      </c>
      <c r="C71" s="246">
        <f t="shared" si="5"/>
        <v>3.1597941809336691E-7</v>
      </c>
      <c r="D71" s="246">
        <f t="shared" si="5"/>
        <v>1.3839898512489471E-6</v>
      </c>
      <c r="E71" s="340" t="s">
        <v>144</v>
      </c>
      <c r="F71" s="341" t="s">
        <v>144</v>
      </c>
      <c r="G71" s="342" t="s">
        <v>319</v>
      </c>
      <c r="H71" s="415" t="s">
        <v>237</v>
      </c>
      <c r="I71" s="403"/>
      <c r="J71" s="41"/>
      <c r="K71" s="41"/>
    </row>
    <row r="72" spans="2:11" s="53" customFormat="1" x14ac:dyDescent="0.2">
      <c r="B72" s="236" t="s">
        <v>188</v>
      </c>
      <c r="C72" s="246">
        <f t="shared" si="5"/>
        <v>4.0235906071662449E-7</v>
      </c>
      <c r="D72" s="246">
        <f t="shared" si="5"/>
        <v>1.7623326859388152E-6</v>
      </c>
      <c r="E72" s="340" t="s">
        <v>144</v>
      </c>
      <c r="F72" s="341" t="s">
        <v>144</v>
      </c>
      <c r="G72" s="342" t="s">
        <v>319</v>
      </c>
      <c r="H72" s="415" t="s">
        <v>237</v>
      </c>
      <c r="I72" s="403"/>
      <c r="J72" s="41"/>
      <c r="K72" s="41"/>
    </row>
    <row r="73" spans="2:11" s="53" customFormat="1" x14ac:dyDescent="0.2">
      <c r="B73" s="236" t="s">
        <v>189</v>
      </c>
      <c r="C73" s="246">
        <f t="shared" si="5"/>
        <v>2.4123641126391612E-8</v>
      </c>
      <c r="D73" s="246">
        <f t="shared" si="5"/>
        <v>1.0566154813359527E-7</v>
      </c>
      <c r="E73" s="340" t="s">
        <v>144</v>
      </c>
      <c r="F73" s="341" t="s">
        <v>144</v>
      </c>
      <c r="G73" s="342" t="s">
        <v>319</v>
      </c>
      <c r="H73" s="53" t="s">
        <v>237</v>
      </c>
      <c r="I73" s="41"/>
      <c r="J73" s="41"/>
      <c r="K73" s="41"/>
    </row>
    <row r="74" spans="2:11" s="53" customFormat="1" x14ac:dyDescent="0.2">
      <c r="B74" s="236" t="s">
        <v>190</v>
      </c>
      <c r="C74" s="246">
        <f t="shared" si="5"/>
        <v>1.0920535129572455E-7</v>
      </c>
      <c r="D74" s="246">
        <f t="shared" si="5"/>
        <v>4.7831943867527355E-7</v>
      </c>
      <c r="E74" s="340" t="s">
        <v>144</v>
      </c>
      <c r="F74" s="341" t="s">
        <v>144</v>
      </c>
      <c r="G74" s="342" t="s">
        <v>319</v>
      </c>
      <c r="H74" s="53" t="s">
        <v>237</v>
      </c>
      <c r="I74" s="41"/>
      <c r="J74" s="41"/>
      <c r="K74" s="41"/>
    </row>
    <row r="75" spans="2:11" s="53" customFormat="1" x14ac:dyDescent="0.2">
      <c r="B75" s="236" t="s">
        <v>191</v>
      </c>
      <c r="C75" s="246">
        <f t="shared" si="5"/>
        <v>1.1636635793806714E-5</v>
      </c>
      <c r="D75" s="246">
        <f t="shared" si="5"/>
        <v>5.0968464776873405E-5</v>
      </c>
      <c r="E75" s="340" t="s">
        <v>144</v>
      </c>
      <c r="F75" s="341" t="s">
        <v>144</v>
      </c>
      <c r="G75" s="342" t="s">
        <v>319</v>
      </c>
      <c r="H75" s="53" t="s">
        <v>239</v>
      </c>
      <c r="I75" s="41"/>
      <c r="J75" s="41"/>
      <c r="K75" s="41"/>
    </row>
    <row r="76" spans="2:11" s="53" customFormat="1" x14ac:dyDescent="0.2">
      <c r="B76" s="236" t="s">
        <v>192</v>
      </c>
      <c r="C76" s="246">
        <f t="shared" si="5"/>
        <v>6.0420993544765629E-7</v>
      </c>
      <c r="D76" s="246">
        <f t="shared" si="5"/>
        <v>2.6464395172607348E-6</v>
      </c>
      <c r="E76" s="340" t="s">
        <v>144</v>
      </c>
      <c r="F76" s="341" t="s">
        <v>144</v>
      </c>
      <c r="G76" s="342" t="s">
        <v>319</v>
      </c>
      <c r="H76" s="53" t="s">
        <v>237</v>
      </c>
      <c r="I76" s="41"/>
      <c r="J76" s="41"/>
      <c r="K76" s="41"/>
    </row>
    <row r="77" spans="2:11" s="53" customFormat="1" x14ac:dyDescent="0.2">
      <c r="B77" s="236" t="s">
        <v>193</v>
      </c>
      <c r="C77" s="246">
        <f t="shared" si="5"/>
        <v>6.892468893254747E-9</v>
      </c>
      <c r="D77" s="246">
        <f t="shared" si="5"/>
        <v>3.018901375245579E-8</v>
      </c>
      <c r="E77" s="340" t="s">
        <v>144</v>
      </c>
      <c r="F77" s="341" t="s">
        <v>144</v>
      </c>
      <c r="G77" s="342" t="s">
        <v>319</v>
      </c>
      <c r="H77" s="53" t="s">
        <v>237</v>
      </c>
      <c r="I77" s="41"/>
      <c r="J77" s="41"/>
      <c r="K77" s="41"/>
    </row>
    <row r="78" spans="2:11" s="415" customFormat="1" x14ac:dyDescent="0.2">
      <c r="B78" s="109"/>
      <c r="C78" s="110"/>
      <c r="D78" s="111"/>
      <c r="E78" s="112"/>
      <c r="F78" s="430"/>
      <c r="G78" s="449"/>
      <c r="I78" s="403"/>
      <c r="J78" s="403"/>
      <c r="K78" s="403"/>
    </row>
    <row r="79" spans="2:11" s="415" customFormat="1" x14ac:dyDescent="0.2">
      <c r="B79" s="446" t="s">
        <v>194</v>
      </c>
      <c r="C79" s="447"/>
      <c r="D79" s="111"/>
      <c r="E79" s="112"/>
      <c r="F79" s="430"/>
      <c r="G79" s="449"/>
      <c r="I79" s="403"/>
      <c r="J79" s="403"/>
      <c r="K79" s="403"/>
    </row>
    <row r="80" spans="2:11" s="415" customFormat="1" ht="15.75" x14ac:dyDescent="0.2">
      <c r="B80" s="113" t="s">
        <v>195</v>
      </c>
      <c r="C80" s="114">
        <f t="shared" ref="C80:D82" si="6">_xlfn.MAXIFS(C$92:C$197,$B$92:$B$197,$B80)</f>
        <v>10321.829613930106</v>
      </c>
      <c r="D80" s="246">
        <f t="shared" si="6"/>
        <v>45209.613709013865</v>
      </c>
      <c r="E80" s="116">
        <f>MAX(E137,E163)</f>
        <v>134.52386776259044</v>
      </c>
      <c r="F80" s="459" t="s">
        <v>205</v>
      </c>
      <c r="G80" s="460" t="s">
        <v>319</v>
      </c>
      <c r="I80" s="403"/>
      <c r="J80" s="403"/>
      <c r="K80" s="403"/>
    </row>
    <row r="81" spans="2:12" s="415" customFormat="1" ht="15.75" x14ac:dyDescent="0.2">
      <c r="B81" s="113" t="s">
        <v>196</v>
      </c>
      <c r="C81" s="452">
        <f t="shared" si="6"/>
        <v>0.10546914622924541</v>
      </c>
      <c r="D81" s="246">
        <f t="shared" si="6"/>
        <v>0.4619548604840949</v>
      </c>
      <c r="E81" s="116">
        <f>MAX(E138,E164)</f>
        <v>2.5353160151260919E-3</v>
      </c>
      <c r="F81" s="459" t="s">
        <v>205</v>
      </c>
      <c r="G81" s="460" t="s">
        <v>319</v>
      </c>
      <c r="I81" s="403"/>
      <c r="J81" s="403"/>
      <c r="K81" s="403"/>
    </row>
    <row r="82" spans="2:12" s="415" customFormat="1" ht="15.75" x14ac:dyDescent="0.2">
      <c r="B82" s="113" t="s">
        <v>197</v>
      </c>
      <c r="C82" s="452">
        <f t="shared" si="6"/>
        <v>1.0546914622924545E-2</v>
      </c>
      <c r="D82" s="246">
        <f t="shared" si="6"/>
        <v>4.61954860484095E-2</v>
      </c>
      <c r="E82" s="116">
        <f>MAX(E139,E165)</f>
        <v>2.5353160151260918E-4</v>
      </c>
      <c r="F82" s="459" t="s">
        <v>205</v>
      </c>
      <c r="G82" s="460" t="s">
        <v>319</v>
      </c>
      <c r="I82" s="403"/>
      <c r="J82" s="403"/>
      <c r="K82" s="403"/>
    </row>
    <row r="83" spans="2:12" s="415" customFormat="1" ht="16.5" thickBot="1" x14ac:dyDescent="0.25">
      <c r="B83" s="117" t="s">
        <v>198</v>
      </c>
      <c r="C83" s="118">
        <f>D83/$C$12*2000</f>
        <v>5601.9726081371255</v>
      </c>
      <c r="D83" s="119">
        <v>24536.640023640608</v>
      </c>
      <c r="E83" s="120" t="s">
        <v>199</v>
      </c>
      <c r="F83" s="473" t="s">
        <v>199</v>
      </c>
      <c r="G83" s="445" t="s">
        <v>200</v>
      </c>
      <c r="I83" s="403"/>
      <c r="J83" s="403"/>
      <c r="K83" s="403"/>
    </row>
    <row r="84" spans="2:12" s="415" customFormat="1" x14ac:dyDescent="0.2">
      <c r="B84" s="122"/>
      <c r="C84" s="114"/>
      <c r="D84" s="123"/>
      <c r="E84" s="124"/>
      <c r="F84" s="474"/>
      <c r="G84" s="416"/>
      <c r="I84" s="403"/>
      <c r="J84" s="403"/>
      <c r="K84" s="403"/>
    </row>
    <row r="85" spans="2:12" s="410" customFormat="1" x14ac:dyDescent="0.2">
      <c r="B85" s="427" t="s">
        <v>201</v>
      </c>
      <c r="C85" s="427"/>
      <c r="D85" s="427"/>
      <c r="E85" s="428"/>
      <c r="F85" s="427"/>
      <c r="G85" s="429"/>
      <c r="I85" s="412"/>
      <c r="J85" s="412"/>
      <c r="K85" s="412"/>
    </row>
    <row r="86" spans="2:12" s="415" customFormat="1" ht="6" customHeight="1" thickBot="1" x14ac:dyDescent="0.25">
      <c r="D86" s="414"/>
      <c r="E86" s="430"/>
      <c r="F86" s="430"/>
      <c r="G86" s="416"/>
      <c r="I86" s="403"/>
      <c r="J86" s="403"/>
      <c r="K86" s="403"/>
    </row>
    <row r="87" spans="2:12" s="415" customFormat="1" ht="6" customHeight="1" x14ac:dyDescent="0.2">
      <c r="B87" s="431"/>
      <c r="C87" s="432"/>
      <c r="D87" s="433"/>
      <c r="E87" s="434"/>
      <c r="F87" s="434"/>
      <c r="G87" s="435"/>
      <c r="I87" s="403"/>
      <c r="J87" s="403"/>
      <c r="K87" s="403"/>
    </row>
    <row r="88" spans="2:12" s="439" customFormat="1" ht="38.25" x14ac:dyDescent="0.2">
      <c r="B88" s="436" t="s">
        <v>136</v>
      </c>
      <c r="C88" s="437" t="s">
        <v>137</v>
      </c>
      <c r="D88" s="437" t="s">
        <v>138</v>
      </c>
      <c r="E88" s="437" t="s">
        <v>139</v>
      </c>
      <c r="F88" s="437" t="s">
        <v>140</v>
      </c>
      <c r="G88" s="438" t="s">
        <v>141</v>
      </c>
      <c r="I88" s="594"/>
      <c r="J88" s="594"/>
      <c r="K88" s="594"/>
    </row>
    <row r="89" spans="2:12" s="415" customFormat="1" ht="6" customHeight="1" thickBot="1" x14ac:dyDescent="0.25">
      <c r="B89" s="441"/>
      <c r="C89" s="442"/>
      <c r="D89" s="443"/>
      <c r="E89" s="444"/>
      <c r="F89" s="444"/>
      <c r="G89" s="445"/>
      <c r="I89" s="403"/>
      <c r="J89" s="403"/>
      <c r="K89" s="403"/>
    </row>
    <row r="90" spans="2:12" s="415" customFormat="1" ht="6" customHeight="1" x14ac:dyDescent="0.2">
      <c r="B90" s="431"/>
      <c r="C90" s="432"/>
      <c r="D90" s="433"/>
      <c r="E90" s="434"/>
      <c r="F90" s="434"/>
      <c r="G90" s="435"/>
      <c r="I90" s="403"/>
      <c r="J90" s="403"/>
      <c r="K90" s="403"/>
    </row>
    <row r="91" spans="2:12" s="415" customFormat="1" x14ac:dyDescent="0.2">
      <c r="B91" s="446" t="s">
        <v>142</v>
      </c>
      <c r="C91" s="447"/>
      <c r="D91" s="448"/>
      <c r="E91" s="430"/>
      <c r="F91" s="430"/>
      <c r="G91" s="449"/>
      <c r="H91" s="403"/>
      <c r="I91" s="450"/>
      <c r="J91" s="450"/>
      <c r="K91" s="450"/>
    </row>
    <row r="92" spans="2:12" s="461" customFormat="1" ht="15" customHeight="1" x14ac:dyDescent="0.2">
      <c r="B92" s="451" t="s">
        <v>148</v>
      </c>
      <c r="C92" s="452">
        <f t="shared" ref="C92" si="7">D92/$C$12*2000</f>
        <v>0.25511086163345487</v>
      </c>
      <c r="D92" s="453">
        <f>E92*C15/2000</f>
        <v>1.1173855739545324</v>
      </c>
      <c r="E92" s="458">
        <v>6.5549999999999997</v>
      </c>
      <c r="F92" s="459" t="s">
        <v>203</v>
      </c>
      <c r="G92" s="456" t="s">
        <v>321</v>
      </c>
      <c r="H92" s="457"/>
      <c r="I92" s="457"/>
      <c r="J92" s="457"/>
      <c r="K92" s="457"/>
      <c r="L92" s="457"/>
    </row>
    <row r="93" spans="2:12" s="461" customFormat="1" ht="15" customHeight="1" x14ac:dyDescent="0.2">
      <c r="B93" s="451"/>
      <c r="C93" s="452"/>
      <c r="D93" s="453"/>
      <c r="E93" s="458"/>
      <c r="F93" s="459"/>
      <c r="G93" s="456"/>
      <c r="H93" s="457"/>
      <c r="I93" s="457"/>
      <c r="J93" s="457"/>
      <c r="K93" s="457"/>
      <c r="L93" s="457"/>
    </row>
    <row r="94" spans="2:12" s="415" customFormat="1" x14ac:dyDescent="0.2">
      <c r="B94" s="446" t="s">
        <v>154</v>
      </c>
      <c r="C94" s="447"/>
      <c r="D94" s="466"/>
      <c r="E94" s="467"/>
      <c r="F94" s="468"/>
      <c r="G94" s="449"/>
      <c r="I94" s="403"/>
      <c r="J94" s="403"/>
      <c r="K94" s="403"/>
    </row>
    <row r="95" spans="2:12" s="415" customFormat="1" x14ac:dyDescent="0.2">
      <c r="B95" s="100" t="s">
        <v>155</v>
      </c>
      <c r="C95" s="101"/>
      <c r="D95" s="466"/>
      <c r="E95" s="453"/>
      <c r="F95" s="469"/>
      <c r="G95" s="449"/>
      <c r="I95" s="403"/>
      <c r="J95" s="403"/>
      <c r="K95" s="403"/>
    </row>
    <row r="96" spans="2:12" s="397" customFormat="1" x14ac:dyDescent="0.2">
      <c r="B96" s="392" t="s">
        <v>156</v>
      </c>
      <c r="C96" s="393">
        <f>D96*2000/8760</f>
        <v>1.074150996351389E-6</v>
      </c>
      <c r="D96" s="394">
        <f>E96*$C$15/2000</f>
        <v>4.7047813640190836E-6</v>
      </c>
      <c r="E96" s="394">
        <f>I96*(1+'Key Inputs'!$Q$4)</f>
        <v>2.76E-5</v>
      </c>
      <c r="F96" s="395" t="s">
        <v>203</v>
      </c>
      <c r="G96" s="396" t="s">
        <v>322</v>
      </c>
      <c r="I96" s="398">
        <v>2.4000000000000001E-5</v>
      </c>
      <c r="J96" s="399"/>
      <c r="K96" s="399"/>
    </row>
    <row r="97" spans="2:11" s="397" customFormat="1" x14ac:dyDescent="0.2">
      <c r="B97" s="392" t="s">
        <v>157</v>
      </c>
      <c r="C97" s="393">
        <f t="shared" ref="C97:C119" si="8">D97*2000/8760</f>
        <v>8.0561324726354178E-8</v>
      </c>
      <c r="D97" s="394">
        <f t="shared" ref="D97:D119" si="9">E97*$C$15/2000</f>
        <v>3.5285860230143129E-7</v>
      </c>
      <c r="E97" s="394">
        <f>I97*(1+'Key Inputs'!$Q$4)</f>
        <v>2.0699999999999997E-6</v>
      </c>
      <c r="F97" s="395" t="s">
        <v>203</v>
      </c>
      <c r="G97" s="396" t="s">
        <v>322</v>
      </c>
      <c r="I97" s="398">
        <v>1.7999999999999999E-6</v>
      </c>
      <c r="J97" s="399"/>
      <c r="K97" s="399"/>
    </row>
    <row r="98" spans="2:11" s="397" customFormat="1" x14ac:dyDescent="0.2">
      <c r="B98" s="392" t="s">
        <v>158</v>
      </c>
      <c r="C98" s="393">
        <f t="shared" si="8"/>
        <v>7.1610066423425934E-7</v>
      </c>
      <c r="D98" s="394">
        <f t="shared" si="9"/>
        <v>3.1365209093460556E-6</v>
      </c>
      <c r="E98" s="394">
        <f>I98*(1+'Key Inputs'!$Q$4)</f>
        <v>1.8399999999999997E-5</v>
      </c>
      <c r="F98" s="395" t="s">
        <v>203</v>
      </c>
      <c r="G98" s="396" t="s">
        <v>322</v>
      </c>
      <c r="I98" s="398">
        <v>1.5999999999999999E-5</v>
      </c>
      <c r="J98" s="399"/>
      <c r="K98" s="399"/>
    </row>
    <row r="99" spans="2:11" s="397" customFormat="1" x14ac:dyDescent="0.2">
      <c r="B99" s="392" t="s">
        <v>159</v>
      </c>
      <c r="C99" s="393">
        <f t="shared" si="8"/>
        <v>8.0561324726354178E-8</v>
      </c>
      <c r="D99" s="394">
        <f t="shared" si="9"/>
        <v>3.5285860230143129E-7</v>
      </c>
      <c r="E99" s="394">
        <f>I99*(1+'Key Inputs'!$Q$4)</f>
        <v>2.0699999999999997E-6</v>
      </c>
      <c r="F99" s="395" t="s">
        <v>203</v>
      </c>
      <c r="G99" s="396" t="s">
        <v>322</v>
      </c>
      <c r="I99" s="398">
        <v>1.7999999999999999E-6</v>
      </c>
      <c r="J99" s="399"/>
      <c r="K99" s="399"/>
    </row>
    <row r="100" spans="2:11" s="397" customFormat="1" x14ac:dyDescent="0.2">
      <c r="B100" s="392" t="s">
        <v>160</v>
      </c>
      <c r="C100" s="393">
        <f t="shared" si="8"/>
        <v>8.0561324726354178E-8</v>
      </c>
      <c r="D100" s="394">
        <f t="shared" si="9"/>
        <v>3.5285860230143129E-7</v>
      </c>
      <c r="E100" s="394">
        <f>I100*(1+'Key Inputs'!$Q$4)</f>
        <v>2.0699999999999997E-6</v>
      </c>
      <c r="F100" s="395" t="s">
        <v>203</v>
      </c>
      <c r="G100" s="396" t="s">
        <v>322</v>
      </c>
      <c r="I100" s="398">
        <v>1.7999999999999999E-6</v>
      </c>
      <c r="J100" s="399"/>
      <c r="K100" s="399"/>
    </row>
    <row r="101" spans="2:11" s="397" customFormat="1" x14ac:dyDescent="0.2">
      <c r="B101" s="392" t="s">
        <v>161</v>
      </c>
      <c r="C101" s="393">
        <f t="shared" si="8"/>
        <v>1.0741509963513891E-7</v>
      </c>
      <c r="D101" s="394">
        <f t="shared" si="9"/>
        <v>4.7047813640190843E-7</v>
      </c>
      <c r="E101" s="394">
        <f>I101*(1+'Key Inputs'!$Q$4)</f>
        <v>2.7599999999999998E-6</v>
      </c>
      <c r="F101" s="395" t="s">
        <v>203</v>
      </c>
      <c r="G101" s="396" t="s">
        <v>322</v>
      </c>
      <c r="I101" s="398">
        <v>2.3999999999999999E-6</v>
      </c>
      <c r="J101" s="399"/>
      <c r="K101" s="399"/>
    </row>
    <row r="102" spans="2:11" s="397" customFormat="1" x14ac:dyDescent="0.2">
      <c r="B102" s="392" t="s">
        <v>162</v>
      </c>
      <c r="C102" s="393">
        <f t="shared" si="8"/>
        <v>8.0561324726354178E-8</v>
      </c>
      <c r="D102" s="394">
        <f t="shared" si="9"/>
        <v>3.5285860230143129E-7</v>
      </c>
      <c r="E102" s="394">
        <f>I102*(1+'Key Inputs'!$Q$4)</f>
        <v>2.0699999999999997E-6</v>
      </c>
      <c r="F102" s="395" t="s">
        <v>203</v>
      </c>
      <c r="G102" s="396" t="s">
        <v>322</v>
      </c>
      <c r="I102" s="398">
        <v>1.7999999999999999E-6</v>
      </c>
      <c r="J102" s="399"/>
      <c r="K102" s="399"/>
    </row>
    <row r="103" spans="2:11" s="397" customFormat="1" x14ac:dyDescent="0.2">
      <c r="B103" s="392" t="s">
        <v>163</v>
      </c>
      <c r="C103" s="393">
        <f t="shared" si="8"/>
        <v>9.3988212180746519E-5</v>
      </c>
      <c r="D103" s="394">
        <f t="shared" si="9"/>
        <v>4.1166836935166976E-4</v>
      </c>
      <c r="E103" s="394">
        <f>I103*(1+'Key Inputs'!$Q$4)</f>
        <v>2.4149999999999996E-3</v>
      </c>
      <c r="F103" s="395" t="s">
        <v>203</v>
      </c>
      <c r="G103" s="396" t="s">
        <v>322</v>
      </c>
      <c r="I103" s="398">
        <v>2.0999999999999999E-3</v>
      </c>
      <c r="J103" s="399"/>
      <c r="K103" s="399"/>
    </row>
    <row r="104" spans="2:11" s="397" customFormat="1" x14ac:dyDescent="0.2">
      <c r="B104" s="392" t="s">
        <v>164</v>
      </c>
      <c r="C104" s="393">
        <f t="shared" si="8"/>
        <v>5.3707549817569454E-8</v>
      </c>
      <c r="D104" s="394">
        <f t="shared" si="9"/>
        <v>2.3523906820095421E-7</v>
      </c>
      <c r="E104" s="394">
        <f>I104*(1+'Key Inputs'!$Q$4)</f>
        <v>1.3799999999999999E-6</v>
      </c>
      <c r="F104" s="395" t="s">
        <v>203</v>
      </c>
      <c r="G104" s="396" t="s">
        <v>322</v>
      </c>
      <c r="I104" s="398">
        <v>1.1999999999999999E-6</v>
      </c>
      <c r="J104" s="399"/>
      <c r="K104" s="399"/>
    </row>
    <row r="105" spans="2:11" s="397" customFormat="1" x14ac:dyDescent="0.2">
      <c r="B105" s="392" t="s">
        <v>165</v>
      </c>
      <c r="C105" s="393">
        <f t="shared" si="8"/>
        <v>8.0561324726354178E-8</v>
      </c>
      <c r="D105" s="394">
        <f t="shared" si="9"/>
        <v>3.5285860230143129E-7</v>
      </c>
      <c r="E105" s="394">
        <f>I105*(1+'Key Inputs'!$Q$4)</f>
        <v>2.0699999999999997E-6</v>
      </c>
      <c r="F105" s="395" t="s">
        <v>203</v>
      </c>
      <c r="G105" s="396" t="s">
        <v>322</v>
      </c>
      <c r="I105" s="398">
        <v>1.7999999999999999E-6</v>
      </c>
      <c r="J105" s="399"/>
      <c r="K105" s="399"/>
    </row>
    <row r="106" spans="2:11" s="397" customFormat="1" x14ac:dyDescent="0.2">
      <c r="B106" s="392" t="s">
        <v>166</v>
      </c>
      <c r="C106" s="393">
        <f t="shared" si="8"/>
        <v>5.3707549817569454E-8</v>
      </c>
      <c r="D106" s="394">
        <f t="shared" si="9"/>
        <v>2.3523906820095421E-7</v>
      </c>
      <c r="E106" s="394">
        <f>I106*(1+'Key Inputs'!$Q$4)</f>
        <v>1.3799999999999999E-6</v>
      </c>
      <c r="F106" s="395" t="s">
        <v>203</v>
      </c>
      <c r="G106" s="396" t="s">
        <v>322</v>
      </c>
      <c r="I106" s="398">
        <v>1.1999999999999999E-6</v>
      </c>
      <c r="J106" s="399"/>
      <c r="K106" s="399"/>
    </row>
    <row r="107" spans="2:11" s="397" customFormat="1" x14ac:dyDescent="0.2">
      <c r="B107" s="392" t="s">
        <v>167</v>
      </c>
      <c r="C107" s="393">
        <f t="shared" si="8"/>
        <v>8.0561324726354178E-8</v>
      </c>
      <c r="D107" s="394">
        <f t="shared" si="9"/>
        <v>3.5285860230143129E-7</v>
      </c>
      <c r="E107" s="394">
        <f>I107*(1+'Key Inputs'!$Q$4)</f>
        <v>2.0699999999999997E-6</v>
      </c>
      <c r="F107" s="395" t="s">
        <v>203</v>
      </c>
      <c r="G107" s="396" t="s">
        <v>322</v>
      </c>
      <c r="I107" s="398">
        <v>1.7999999999999999E-6</v>
      </c>
      <c r="J107" s="399"/>
      <c r="K107" s="399"/>
    </row>
    <row r="108" spans="2:11" s="397" customFormat="1" x14ac:dyDescent="0.2">
      <c r="B108" s="392" t="s">
        <v>168</v>
      </c>
      <c r="C108" s="393">
        <f t="shared" si="8"/>
        <v>8.0561324726354178E-8</v>
      </c>
      <c r="D108" s="394">
        <f t="shared" si="9"/>
        <v>3.5285860230143129E-7</v>
      </c>
      <c r="E108" s="394">
        <f>I108*(1+'Key Inputs'!$Q$4)</f>
        <v>2.0699999999999997E-6</v>
      </c>
      <c r="F108" s="395" t="s">
        <v>203</v>
      </c>
      <c r="G108" s="396" t="s">
        <v>322</v>
      </c>
      <c r="I108" s="398">
        <v>1.7999999999999999E-6</v>
      </c>
      <c r="J108" s="399"/>
      <c r="K108" s="399"/>
    </row>
    <row r="109" spans="2:11" s="397" customFormat="1" x14ac:dyDescent="0.2">
      <c r="B109" s="392" t="s">
        <v>169</v>
      </c>
      <c r="C109" s="393">
        <f t="shared" si="8"/>
        <v>5.3707549817569454E-8</v>
      </c>
      <c r="D109" s="394">
        <f t="shared" si="9"/>
        <v>2.3523906820095421E-7</v>
      </c>
      <c r="E109" s="394">
        <f>I109*(1+'Key Inputs'!$Q$4)</f>
        <v>1.3799999999999999E-6</v>
      </c>
      <c r="F109" s="395" t="s">
        <v>203</v>
      </c>
      <c r="G109" s="396" t="s">
        <v>322</v>
      </c>
      <c r="I109" s="398">
        <v>1.1999999999999999E-6</v>
      </c>
      <c r="J109" s="399"/>
      <c r="K109" s="399"/>
    </row>
    <row r="110" spans="2:11" s="397" customFormat="1" x14ac:dyDescent="0.2">
      <c r="B110" s="392" t="s">
        <v>170</v>
      </c>
      <c r="C110" s="393">
        <f t="shared" si="8"/>
        <v>5.3707549817569443E-5</v>
      </c>
      <c r="D110" s="394">
        <f t="shared" si="9"/>
        <v>2.3523906820095418E-4</v>
      </c>
      <c r="E110" s="394">
        <f>I110*(1+'Key Inputs'!$Q$4)</f>
        <v>1.3799999999999997E-3</v>
      </c>
      <c r="F110" s="395" t="s">
        <v>203</v>
      </c>
      <c r="G110" s="396" t="s">
        <v>322</v>
      </c>
      <c r="I110" s="398">
        <v>1.1999999999999999E-3</v>
      </c>
      <c r="J110" s="399"/>
      <c r="K110" s="399"/>
    </row>
    <row r="111" spans="2:11" s="397" customFormat="1" x14ac:dyDescent="0.2">
      <c r="B111" s="392" t="s">
        <v>171</v>
      </c>
      <c r="C111" s="393">
        <f t="shared" si="8"/>
        <v>1.3426887454392363E-7</v>
      </c>
      <c r="D111" s="394">
        <f t="shared" si="9"/>
        <v>5.8809767050238546E-7</v>
      </c>
      <c r="E111" s="394">
        <f>I111*(1+'Key Inputs'!$Q$4)</f>
        <v>3.45E-6</v>
      </c>
      <c r="F111" s="395" t="s">
        <v>203</v>
      </c>
      <c r="G111" s="396" t="s">
        <v>322</v>
      </c>
      <c r="I111" s="398">
        <v>3.0000000000000001E-6</v>
      </c>
      <c r="J111" s="399"/>
      <c r="K111" s="399"/>
    </row>
    <row r="112" spans="2:11" s="397" customFormat="1" x14ac:dyDescent="0.2">
      <c r="B112" s="392" t="s">
        <v>172</v>
      </c>
      <c r="C112" s="393">
        <f t="shared" si="8"/>
        <v>1.2531761624099537E-7</v>
      </c>
      <c r="D112" s="394">
        <f t="shared" si="9"/>
        <v>5.4889115913555974E-7</v>
      </c>
      <c r="E112" s="394">
        <f>I112*(1+'Key Inputs'!$Q$4)</f>
        <v>3.2199999999999997E-6</v>
      </c>
      <c r="F112" s="395" t="s">
        <v>203</v>
      </c>
      <c r="G112" s="396" t="s">
        <v>322</v>
      </c>
      <c r="I112" s="398">
        <v>2.7999999999999999E-6</v>
      </c>
      <c r="J112" s="399"/>
      <c r="K112" s="399"/>
    </row>
    <row r="113" spans="2:11" s="397" customFormat="1" x14ac:dyDescent="0.2">
      <c r="B113" s="392" t="s">
        <v>173</v>
      </c>
      <c r="C113" s="393">
        <f t="shared" si="8"/>
        <v>3.3567218635980906E-3</v>
      </c>
      <c r="D113" s="394">
        <f t="shared" si="9"/>
        <v>1.4702441762559637E-2</v>
      </c>
      <c r="E113" s="400">
        <f>I113*(1+'Key Inputs'!$Q$4)</f>
        <v>8.6249999999999993E-2</v>
      </c>
      <c r="F113" s="395" t="s">
        <v>203</v>
      </c>
      <c r="G113" s="396" t="s">
        <v>322</v>
      </c>
      <c r="I113" s="398">
        <v>7.4999999999999997E-2</v>
      </c>
      <c r="J113" s="399"/>
      <c r="K113" s="399"/>
    </row>
    <row r="114" spans="2:11" s="415" customFormat="1" x14ac:dyDescent="0.2">
      <c r="B114" s="103" t="s">
        <v>174</v>
      </c>
      <c r="C114" s="393">
        <f t="shared" si="8"/>
        <v>8.0561324726354175E-2</v>
      </c>
      <c r="D114" s="394">
        <f t="shared" si="9"/>
        <v>0.35285860230143129</v>
      </c>
      <c r="E114" s="453">
        <v>2.0699999999999998</v>
      </c>
      <c r="F114" s="430" t="s">
        <v>203</v>
      </c>
      <c r="G114" s="449" t="s">
        <v>322</v>
      </c>
      <c r="I114" s="403"/>
      <c r="J114" s="403"/>
      <c r="K114" s="403"/>
    </row>
    <row r="115" spans="2:11" s="397" customFormat="1" x14ac:dyDescent="0.2">
      <c r="B115" s="392" t="s">
        <v>175</v>
      </c>
      <c r="C115" s="393">
        <f t="shared" si="8"/>
        <v>5.1917298156983807E-10</v>
      </c>
      <c r="D115" s="394">
        <f t="shared" si="9"/>
        <v>2.2739776592758906E-9</v>
      </c>
      <c r="E115" s="394">
        <f>I115*(1+'Key Inputs'!$Q$4)</f>
        <v>1.3339999999999999E-8</v>
      </c>
      <c r="F115" s="395" t="s">
        <v>203</v>
      </c>
      <c r="G115" s="396" t="s">
        <v>322</v>
      </c>
      <c r="I115" s="398">
        <v>1.16E-8</v>
      </c>
      <c r="J115" s="399"/>
      <c r="K115" s="399"/>
    </row>
    <row r="116" spans="2:11" s="397" customFormat="1" x14ac:dyDescent="0.2">
      <c r="B116" s="392" t="s">
        <v>176</v>
      </c>
      <c r="C116" s="393">
        <f t="shared" si="8"/>
        <v>1.7544466273739352E-7</v>
      </c>
      <c r="D116" s="394">
        <f t="shared" si="9"/>
        <v>7.6844762278978366E-7</v>
      </c>
      <c r="E116" s="394">
        <f>I116*(1+'Key Inputs'!$Q$4)</f>
        <v>4.507999999999999E-6</v>
      </c>
      <c r="F116" s="395" t="s">
        <v>203</v>
      </c>
      <c r="G116" s="396" t="s">
        <v>322</v>
      </c>
      <c r="I116" s="398">
        <v>3.9199999999999997E-6</v>
      </c>
      <c r="J116" s="399"/>
      <c r="K116" s="399"/>
    </row>
    <row r="117" spans="2:11" s="397" customFormat="1" x14ac:dyDescent="0.2">
      <c r="B117" s="392" t="s">
        <v>177</v>
      </c>
      <c r="C117" s="393">
        <f t="shared" si="8"/>
        <v>4.878435775095892E-9</v>
      </c>
      <c r="D117" s="394">
        <f t="shared" si="9"/>
        <v>2.1367548694920006E-8</v>
      </c>
      <c r="E117" s="394">
        <f>I117*(1+'Key Inputs'!$Q$4)</f>
        <v>1.2534999999999999E-7</v>
      </c>
      <c r="F117" s="395" t="s">
        <v>203</v>
      </c>
      <c r="G117" s="396" t="s">
        <v>322</v>
      </c>
      <c r="I117" s="398">
        <v>1.09E-7</v>
      </c>
      <c r="J117" s="399"/>
      <c r="K117" s="399"/>
    </row>
    <row r="118" spans="2:11" s="397" customFormat="1" x14ac:dyDescent="0.2">
      <c r="B118" s="392" t="s">
        <v>178</v>
      </c>
      <c r="C118" s="393">
        <f t="shared" si="8"/>
        <v>1.4366769576199829E-9</v>
      </c>
      <c r="D118" s="394">
        <f t="shared" si="9"/>
        <v>6.2926450743755252E-9</v>
      </c>
      <c r="E118" s="394">
        <f>I118*(1+'Key Inputs'!$Q$4)</f>
        <v>3.6915000000000003E-8</v>
      </c>
      <c r="F118" s="395" t="s">
        <v>203</v>
      </c>
      <c r="G118" s="396" t="s">
        <v>322</v>
      </c>
      <c r="I118" s="398">
        <v>3.2100000000000003E-8</v>
      </c>
      <c r="J118" s="399"/>
      <c r="K118" s="399"/>
    </row>
    <row r="119" spans="2:11" s="397" customFormat="1" x14ac:dyDescent="0.2">
      <c r="B119" s="392" t="s">
        <v>179</v>
      </c>
      <c r="C119" s="393">
        <f t="shared" si="8"/>
        <v>9.7568715501917844E-7</v>
      </c>
      <c r="D119" s="394">
        <f t="shared" si="9"/>
        <v>4.2735097389840018E-6</v>
      </c>
      <c r="E119" s="394">
        <f>I119*(1+'Key Inputs'!$Q$4)</f>
        <v>2.5069999999999999E-5</v>
      </c>
      <c r="F119" s="395" t="s">
        <v>203</v>
      </c>
      <c r="G119" s="396" t="s">
        <v>322</v>
      </c>
      <c r="I119" s="398">
        <v>2.1800000000000001E-5</v>
      </c>
      <c r="J119" s="399"/>
      <c r="K119" s="399"/>
    </row>
    <row r="120" spans="2:11" s="415" customFormat="1" x14ac:dyDescent="0.2">
      <c r="B120" s="100"/>
      <c r="C120" s="105"/>
      <c r="D120" s="471"/>
      <c r="E120" s="453"/>
      <c r="F120" s="469"/>
      <c r="G120" s="449"/>
      <c r="I120" s="403"/>
      <c r="J120" s="403"/>
      <c r="K120" s="403"/>
    </row>
    <row r="121" spans="2:11" s="415" customFormat="1" x14ac:dyDescent="0.2">
      <c r="B121" s="100" t="s">
        <v>180</v>
      </c>
      <c r="C121" s="105"/>
      <c r="D121" s="471"/>
      <c r="E121" s="453"/>
      <c r="F121" s="469"/>
      <c r="G121" s="449"/>
      <c r="I121" s="403"/>
      <c r="J121" s="403"/>
      <c r="K121" s="403"/>
    </row>
    <row r="122" spans="2:11" s="415" customFormat="1" x14ac:dyDescent="0.2">
      <c r="B122" s="103" t="s">
        <v>183</v>
      </c>
      <c r="C122" s="393">
        <f>D122*2000/8760</f>
        <v>0.14322013284685187</v>
      </c>
      <c r="D122" s="394">
        <f>E122*$C$15/2000</f>
        <v>0.62730418186921122</v>
      </c>
      <c r="E122" s="453">
        <v>3.6799999999999997</v>
      </c>
      <c r="F122" s="469" t="s">
        <v>203</v>
      </c>
      <c r="G122" s="449" t="s">
        <v>209</v>
      </c>
      <c r="I122" s="403"/>
      <c r="J122" s="403"/>
      <c r="K122" s="403"/>
    </row>
    <row r="123" spans="2:11" s="415" customFormat="1" x14ac:dyDescent="0.2">
      <c r="B123" s="100"/>
      <c r="C123" s="105"/>
      <c r="D123" s="471"/>
      <c r="E123" s="453"/>
      <c r="F123" s="469"/>
      <c r="G123" s="449"/>
      <c r="I123" s="403"/>
      <c r="J123" s="403"/>
      <c r="K123" s="403"/>
    </row>
    <row r="124" spans="2:11" s="415" customFormat="1" x14ac:dyDescent="0.2">
      <c r="B124" s="100" t="s">
        <v>184</v>
      </c>
      <c r="C124" s="105"/>
      <c r="D124" s="471"/>
      <c r="E124" s="453"/>
      <c r="F124" s="469"/>
      <c r="G124" s="449"/>
      <c r="I124" s="403"/>
      <c r="J124" s="403"/>
      <c r="K124" s="403"/>
    </row>
    <row r="125" spans="2:11" s="415" customFormat="1" x14ac:dyDescent="0.2">
      <c r="B125" s="103" t="s">
        <v>66</v>
      </c>
      <c r="C125" s="393">
        <f t="shared" ref="C125:C134" si="10">D125*2000/8760</f>
        <v>2.2378145757320606E-5</v>
      </c>
      <c r="D125" s="394">
        <f t="shared" ref="D125:D134" si="11">E125*$C$15/2000</f>
        <v>9.8016278417064256E-5</v>
      </c>
      <c r="E125" s="472">
        <v>5.7499999999999999E-4</v>
      </c>
      <c r="F125" s="430" t="s">
        <v>203</v>
      </c>
      <c r="G125" s="449" t="s">
        <v>321</v>
      </c>
      <c r="I125" s="403"/>
      <c r="J125" s="403"/>
      <c r="K125" s="403"/>
    </row>
    <row r="126" spans="2:11" s="397" customFormat="1" x14ac:dyDescent="0.2">
      <c r="B126" s="392" t="s">
        <v>185</v>
      </c>
      <c r="C126" s="393">
        <f t="shared" si="10"/>
        <v>5.7288053138740745E-8</v>
      </c>
      <c r="D126" s="394">
        <f t="shared" si="11"/>
        <v>2.5092167274768446E-7</v>
      </c>
      <c r="E126" s="394">
        <f>I126*(1+'Key Inputs'!$Q$4)</f>
        <v>1.4719999999999998E-6</v>
      </c>
      <c r="F126" s="395" t="s">
        <v>203</v>
      </c>
      <c r="G126" s="396" t="s">
        <v>323</v>
      </c>
      <c r="I126" s="398">
        <v>1.28E-6</v>
      </c>
      <c r="J126" s="399"/>
      <c r="K126" s="399"/>
    </row>
    <row r="127" spans="2:11" s="397" customFormat="1" x14ac:dyDescent="0.2">
      <c r="B127" s="392" t="s">
        <v>186</v>
      </c>
      <c r="C127" s="393">
        <f t="shared" si="10"/>
        <v>3.4462344466273735E-9</v>
      </c>
      <c r="D127" s="394">
        <f t="shared" si="11"/>
        <v>1.5094506876227895E-8</v>
      </c>
      <c r="E127" s="394">
        <f>I127*(1+'Key Inputs'!$Q$4)</f>
        <v>8.8549999999999996E-8</v>
      </c>
      <c r="F127" s="395" t="s">
        <v>203</v>
      </c>
      <c r="G127" s="396" t="s">
        <v>323</v>
      </c>
      <c r="I127" s="398">
        <v>7.7000000000000001E-8</v>
      </c>
      <c r="J127" s="399"/>
      <c r="K127" s="399"/>
    </row>
    <row r="128" spans="2:11" s="397" customFormat="1" x14ac:dyDescent="0.2">
      <c r="B128" s="392" t="s">
        <v>187</v>
      </c>
      <c r="C128" s="393">
        <f t="shared" si="10"/>
        <v>3.1597941809336691E-7</v>
      </c>
      <c r="D128" s="394">
        <f t="shared" si="11"/>
        <v>1.3839898512489471E-6</v>
      </c>
      <c r="E128" s="394">
        <f>I128*(1+'Key Inputs'!$Q$4)</f>
        <v>8.1189999999999997E-6</v>
      </c>
      <c r="F128" s="395" t="s">
        <v>203</v>
      </c>
      <c r="G128" s="396" t="s">
        <v>323</v>
      </c>
      <c r="I128" s="398">
        <v>7.0600000000000002E-6</v>
      </c>
      <c r="J128" s="399"/>
      <c r="K128" s="399"/>
    </row>
    <row r="129" spans="2:11" s="397" customFormat="1" x14ac:dyDescent="0.2">
      <c r="B129" s="392" t="s">
        <v>188</v>
      </c>
      <c r="C129" s="393">
        <f t="shared" si="10"/>
        <v>4.0235906071662449E-7</v>
      </c>
      <c r="D129" s="394">
        <f t="shared" si="11"/>
        <v>1.7623326859388152E-6</v>
      </c>
      <c r="E129" s="394">
        <f>I129*(1+'Key Inputs'!$Q$4)</f>
        <v>1.0338499999999999E-5</v>
      </c>
      <c r="F129" s="395" t="s">
        <v>203</v>
      </c>
      <c r="G129" s="396" t="s">
        <v>323</v>
      </c>
      <c r="I129" s="398">
        <v>8.9900000000000003E-6</v>
      </c>
      <c r="J129" s="399"/>
      <c r="K129" s="399"/>
    </row>
    <row r="130" spans="2:11" s="397" customFormat="1" x14ac:dyDescent="0.2">
      <c r="B130" s="392" t="s">
        <v>189</v>
      </c>
      <c r="C130" s="393">
        <f t="shared" si="10"/>
        <v>2.4123641126391612E-8</v>
      </c>
      <c r="D130" s="394">
        <f t="shared" si="11"/>
        <v>1.0566154813359527E-7</v>
      </c>
      <c r="E130" s="394">
        <f>I130*(1+'Key Inputs'!$Q$4)</f>
        <v>6.1984999999999998E-7</v>
      </c>
      <c r="F130" s="395" t="s">
        <v>203</v>
      </c>
      <c r="G130" s="396" t="s">
        <v>323</v>
      </c>
      <c r="I130" s="398">
        <v>5.3900000000000005E-7</v>
      </c>
      <c r="J130" s="399"/>
      <c r="K130" s="399"/>
    </row>
    <row r="131" spans="2:11" s="397" customFormat="1" x14ac:dyDescent="0.2">
      <c r="B131" s="392" t="s">
        <v>190</v>
      </c>
      <c r="C131" s="393">
        <f t="shared" si="10"/>
        <v>1.0920535129572455E-7</v>
      </c>
      <c r="D131" s="394">
        <f t="shared" si="11"/>
        <v>4.7831943867527355E-7</v>
      </c>
      <c r="E131" s="394">
        <f>I131*(1+'Key Inputs'!$Q$4)</f>
        <v>2.8059999999999999E-6</v>
      </c>
      <c r="F131" s="395" t="s">
        <v>203</v>
      </c>
      <c r="G131" s="396" t="s">
        <v>323</v>
      </c>
      <c r="I131" s="398">
        <v>2.4399999999999999E-6</v>
      </c>
      <c r="J131" s="399"/>
      <c r="K131" s="399"/>
    </row>
    <row r="132" spans="2:11" s="397" customFormat="1" x14ac:dyDescent="0.2">
      <c r="B132" s="392" t="s">
        <v>191</v>
      </c>
      <c r="C132" s="393">
        <f t="shared" si="10"/>
        <v>1.1636635793806714E-5</v>
      </c>
      <c r="D132" s="394">
        <f t="shared" si="11"/>
        <v>5.0968464776873405E-5</v>
      </c>
      <c r="E132" s="394">
        <f>I132*(1+'Key Inputs'!$Q$4)</f>
        <v>2.9899999999999995E-4</v>
      </c>
      <c r="F132" s="395" t="s">
        <v>203</v>
      </c>
      <c r="G132" s="396" t="s">
        <v>323</v>
      </c>
      <c r="I132" s="398">
        <v>2.5999999999999998E-4</v>
      </c>
      <c r="J132" s="399"/>
      <c r="K132" s="399"/>
    </row>
    <row r="133" spans="2:11" s="397" customFormat="1" x14ac:dyDescent="0.2">
      <c r="B133" s="392" t="s">
        <v>192</v>
      </c>
      <c r="C133" s="393">
        <f t="shared" si="10"/>
        <v>6.0420993544765629E-7</v>
      </c>
      <c r="D133" s="394">
        <f t="shared" si="11"/>
        <v>2.6464395172607348E-6</v>
      </c>
      <c r="E133" s="394">
        <f>I133*(1+'Key Inputs'!$Q$4)</f>
        <v>1.5524999999999998E-5</v>
      </c>
      <c r="F133" s="395" t="s">
        <v>203</v>
      </c>
      <c r="G133" s="396" t="s">
        <v>323</v>
      </c>
      <c r="I133" s="398">
        <v>1.3499999999999999E-5</v>
      </c>
      <c r="J133" s="399"/>
      <c r="K133" s="399"/>
    </row>
    <row r="134" spans="2:11" s="397" customFormat="1" x14ac:dyDescent="0.2">
      <c r="B134" s="392" t="s">
        <v>193</v>
      </c>
      <c r="C134" s="393">
        <f t="shared" si="10"/>
        <v>6.892468893254747E-9</v>
      </c>
      <c r="D134" s="394">
        <f t="shared" si="11"/>
        <v>3.018901375245579E-8</v>
      </c>
      <c r="E134" s="394">
        <f>I134*(1+'Key Inputs'!$Q$4)</f>
        <v>1.7709999999999999E-7</v>
      </c>
      <c r="F134" s="395" t="s">
        <v>203</v>
      </c>
      <c r="G134" s="396" t="s">
        <v>323</v>
      </c>
      <c r="I134" s="398">
        <v>1.54E-7</v>
      </c>
      <c r="J134" s="399"/>
      <c r="K134" s="399"/>
    </row>
    <row r="135" spans="2:11" s="415" customFormat="1" x14ac:dyDescent="0.2">
      <c r="B135" s="109"/>
      <c r="C135" s="110"/>
      <c r="D135" s="111"/>
      <c r="E135" s="112"/>
      <c r="F135" s="430"/>
      <c r="G135" s="449"/>
      <c r="I135" s="403"/>
      <c r="J135" s="403"/>
      <c r="K135" s="403"/>
    </row>
    <row r="136" spans="2:11" s="415" customFormat="1" x14ac:dyDescent="0.2">
      <c r="B136" s="446" t="s">
        <v>194</v>
      </c>
      <c r="C136" s="447"/>
      <c r="D136" s="111"/>
      <c r="E136" s="112"/>
      <c r="F136" s="430"/>
      <c r="G136" s="449"/>
      <c r="I136" s="403"/>
      <c r="J136" s="403"/>
      <c r="K136" s="403"/>
    </row>
    <row r="137" spans="2:11" s="415" customFormat="1" ht="15.75" x14ac:dyDescent="0.2">
      <c r="B137" s="113" t="s">
        <v>195</v>
      </c>
      <c r="C137" s="114">
        <f>D137/$C$12*2000</f>
        <v>5596.1928989237622</v>
      </c>
      <c r="D137" s="475">
        <v>24511.324897286078</v>
      </c>
      <c r="E137" s="116">
        <v>134.52386776259044</v>
      </c>
      <c r="F137" s="459" t="s">
        <v>205</v>
      </c>
      <c r="G137" s="460" t="s">
        <v>211</v>
      </c>
      <c r="I137" s="403"/>
      <c r="J137" s="403"/>
      <c r="K137" s="403"/>
    </row>
    <row r="138" spans="2:11" s="415" customFormat="1" ht="15.75" x14ac:dyDescent="0.2">
      <c r="B138" s="113" t="s">
        <v>196</v>
      </c>
      <c r="C138" s="452">
        <f>D138/$C$12*2000</f>
        <v>0.10546914622924541</v>
      </c>
      <c r="D138" s="475">
        <v>0.4619548604840949</v>
      </c>
      <c r="E138" s="127">
        <v>2.5353160151260919E-3</v>
      </c>
      <c r="F138" s="459" t="s">
        <v>205</v>
      </c>
      <c r="G138" s="460" t="s">
        <v>212</v>
      </c>
      <c r="I138" s="403"/>
      <c r="J138" s="403"/>
      <c r="K138" s="403"/>
    </row>
    <row r="139" spans="2:11" s="415" customFormat="1" ht="15.75" x14ac:dyDescent="0.2">
      <c r="B139" s="113" t="s">
        <v>197</v>
      </c>
      <c r="C139" s="452">
        <f>D139/$C$12*2000</f>
        <v>1.0546914622924543E-2</v>
      </c>
      <c r="D139" s="475">
        <v>4.6195486048409493E-2</v>
      </c>
      <c r="E139" s="128">
        <v>2.5353160151260918E-4</v>
      </c>
      <c r="F139" s="459" t="s">
        <v>205</v>
      </c>
      <c r="G139" s="460" t="s">
        <v>212</v>
      </c>
      <c r="I139" s="403"/>
      <c r="J139" s="403"/>
      <c r="K139" s="403"/>
    </row>
    <row r="140" spans="2:11" s="415" customFormat="1" ht="15.75" x14ac:dyDescent="0.2">
      <c r="B140" s="113" t="s">
        <v>198</v>
      </c>
      <c r="C140" s="114">
        <f>D140/$C$12*2000</f>
        <v>5601.9726081371255</v>
      </c>
      <c r="D140" s="123">
        <v>24536.640023640608</v>
      </c>
      <c r="E140" s="124" t="s">
        <v>199</v>
      </c>
      <c r="F140" s="474" t="s">
        <v>199</v>
      </c>
      <c r="G140" s="449" t="s">
        <v>200</v>
      </c>
      <c r="I140" s="403"/>
      <c r="J140" s="403"/>
      <c r="K140" s="403"/>
    </row>
    <row r="141" spans="2:11" s="415" customFormat="1" ht="6" customHeight="1" thickBot="1" x14ac:dyDescent="0.25">
      <c r="B141" s="441"/>
      <c r="C141" s="476"/>
      <c r="D141" s="477"/>
      <c r="E141" s="478"/>
      <c r="F141" s="478"/>
      <c r="G141" s="445"/>
      <c r="I141" s="403"/>
      <c r="J141" s="403"/>
      <c r="K141" s="403"/>
    </row>
    <row r="142" spans="2:11" s="415" customFormat="1" ht="6" customHeight="1" x14ac:dyDescent="0.2">
      <c r="D142" s="414"/>
      <c r="E142" s="430"/>
      <c r="F142" s="430"/>
      <c r="G142" s="416"/>
      <c r="I142" s="403"/>
      <c r="J142" s="403"/>
      <c r="K142" s="403"/>
    </row>
    <row r="143" spans="2:11" s="410" customFormat="1" x14ac:dyDescent="0.2">
      <c r="B143" s="427" t="s">
        <v>213</v>
      </c>
      <c r="C143" s="427"/>
      <c r="D143" s="427"/>
      <c r="E143" s="428"/>
      <c r="F143" s="427"/>
      <c r="G143" s="429"/>
      <c r="I143" s="412"/>
      <c r="J143" s="412"/>
      <c r="K143" s="412"/>
    </row>
    <row r="144" spans="2:11" s="415" customFormat="1" ht="6" customHeight="1" thickBot="1" x14ac:dyDescent="0.25">
      <c r="D144" s="414"/>
      <c r="E144" s="430"/>
      <c r="F144" s="430"/>
      <c r="G144" s="416"/>
      <c r="I144" s="403"/>
      <c r="J144" s="403"/>
      <c r="K144" s="403"/>
    </row>
    <row r="145" spans="2:11" s="415" customFormat="1" ht="6" customHeight="1" x14ac:dyDescent="0.2">
      <c r="B145" s="431"/>
      <c r="C145" s="432"/>
      <c r="D145" s="433"/>
      <c r="E145" s="434"/>
      <c r="F145" s="434"/>
      <c r="G145" s="435"/>
      <c r="I145" s="403"/>
      <c r="J145" s="403"/>
      <c r="K145" s="403"/>
    </row>
    <row r="146" spans="2:11" s="439" customFormat="1" ht="38.25" x14ac:dyDescent="0.2">
      <c r="B146" s="436" t="s">
        <v>136</v>
      </c>
      <c r="C146" s="437" t="s">
        <v>137</v>
      </c>
      <c r="D146" s="437" t="s">
        <v>138</v>
      </c>
      <c r="E146" s="437" t="s">
        <v>139</v>
      </c>
      <c r="F146" s="437" t="s">
        <v>140</v>
      </c>
      <c r="G146" s="438" t="s">
        <v>141</v>
      </c>
      <c r="I146" s="440"/>
      <c r="J146" s="440"/>
      <c r="K146" s="440"/>
    </row>
    <row r="147" spans="2:11" s="415" customFormat="1" ht="6" customHeight="1" thickBot="1" x14ac:dyDescent="0.25">
      <c r="B147" s="441"/>
      <c r="C147" s="442"/>
      <c r="D147" s="443"/>
      <c r="E147" s="444"/>
      <c r="F147" s="444"/>
      <c r="G147" s="445"/>
      <c r="I147" s="403"/>
      <c r="J147" s="403"/>
      <c r="K147" s="403"/>
    </row>
    <row r="148" spans="2:11" s="415" customFormat="1" ht="6" customHeight="1" x14ac:dyDescent="0.2">
      <c r="B148" s="431"/>
      <c r="C148" s="432"/>
      <c r="D148" s="433"/>
      <c r="E148" s="434"/>
      <c r="F148" s="434"/>
      <c r="G148" s="435"/>
      <c r="I148" s="403"/>
      <c r="J148" s="403"/>
      <c r="K148" s="403"/>
    </row>
    <row r="149" spans="2:11" s="415" customFormat="1" x14ac:dyDescent="0.2">
      <c r="B149" s="446" t="s">
        <v>142</v>
      </c>
      <c r="C149" s="447"/>
      <c r="D149" s="448"/>
      <c r="E149" s="430"/>
      <c r="F149" s="430"/>
      <c r="G149" s="449"/>
      <c r="H149" s="403"/>
      <c r="I149" s="403"/>
      <c r="J149" s="403"/>
      <c r="K149" s="403"/>
    </row>
    <row r="150" spans="2:11" s="461" customFormat="1" ht="15" customHeight="1" x14ac:dyDescent="0.2">
      <c r="B150" s="451" t="s">
        <v>148</v>
      </c>
      <c r="C150" s="452">
        <f t="shared" ref="C150" si="12">D150/$C$12*2000</f>
        <v>0.26421731483290989</v>
      </c>
      <c r="D150" s="453">
        <f>E150*$C$16/2000</f>
        <v>1.1572718389681453</v>
      </c>
      <c r="E150" s="470">
        <v>3.25</v>
      </c>
      <c r="F150" s="459" t="s">
        <v>203</v>
      </c>
      <c r="G150" s="460" t="s">
        <v>214</v>
      </c>
      <c r="H150" s="457"/>
      <c r="I150" s="457"/>
      <c r="J150" s="457"/>
      <c r="K150" s="457"/>
    </row>
    <row r="151" spans="2:11" s="461" customFormat="1" ht="15" customHeight="1" x14ac:dyDescent="0.2">
      <c r="B151" s="451"/>
      <c r="C151" s="452"/>
      <c r="D151" s="453"/>
      <c r="E151" s="470"/>
      <c r="F151" s="459"/>
      <c r="G151" s="460"/>
      <c r="H151" s="457"/>
      <c r="I151" s="457"/>
      <c r="J151" s="457"/>
      <c r="K151" s="457"/>
    </row>
    <row r="152" spans="2:11" s="415" customFormat="1" x14ac:dyDescent="0.2">
      <c r="B152" s="446" t="s">
        <v>154</v>
      </c>
      <c r="C152" s="447"/>
      <c r="D152" s="466"/>
      <c r="E152" s="467"/>
      <c r="F152" s="468"/>
      <c r="G152" s="449"/>
      <c r="I152" s="403"/>
      <c r="J152" s="403"/>
      <c r="K152" s="403"/>
    </row>
    <row r="153" spans="2:11" s="415" customFormat="1" x14ac:dyDescent="0.2">
      <c r="B153" s="100" t="s">
        <v>155</v>
      </c>
      <c r="C153" s="101"/>
      <c r="D153" s="466"/>
      <c r="E153" s="453"/>
      <c r="F153" s="469"/>
      <c r="G153" s="449"/>
      <c r="I153" s="403"/>
      <c r="J153" s="403"/>
      <c r="K153" s="403"/>
    </row>
    <row r="154" spans="2:11" s="415" customFormat="1" x14ac:dyDescent="0.2">
      <c r="B154" s="103" t="s">
        <v>163</v>
      </c>
      <c r="C154" s="479">
        <f t="shared" ref="C154:C160" si="13">D154/$C$12*2000</f>
        <v>1.8698456126636704E-3</v>
      </c>
      <c r="D154" s="472">
        <f>E154*$C$16/2000</f>
        <v>8.1899237834668764E-3</v>
      </c>
      <c r="E154" s="472">
        <v>2.3E-2</v>
      </c>
      <c r="F154" s="430" t="s">
        <v>203</v>
      </c>
      <c r="G154" s="449" t="s">
        <v>219</v>
      </c>
      <c r="I154" s="480"/>
      <c r="J154" s="480"/>
      <c r="K154" s="403"/>
    </row>
    <row r="155" spans="2:11" s="415" customFormat="1" x14ac:dyDescent="0.2">
      <c r="B155" s="103"/>
      <c r="C155" s="479"/>
      <c r="D155" s="472"/>
      <c r="E155" s="472"/>
      <c r="F155" s="430"/>
      <c r="G155" s="449"/>
      <c r="I155" s="403"/>
      <c r="J155" s="403"/>
      <c r="K155" s="403"/>
    </row>
    <row r="156" spans="2:11" s="415" customFormat="1" x14ac:dyDescent="0.2">
      <c r="B156" s="100" t="s">
        <v>180</v>
      </c>
      <c r="C156" s="479"/>
      <c r="D156" s="472"/>
      <c r="E156" s="472"/>
      <c r="F156" s="430"/>
      <c r="G156" s="449"/>
      <c r="I156" s="403"/>
      <c r="J156" s="403"/>
      <c r="K156" s="403"/>
    </row>
    <row r="157" spans="2:11" s="415" customFormat="1" x14ac:dyDescent="0.2">
      <c r="B157" s="103" t="s">
        <v>153</v>
      </c>
      <c r="C157" s="452">
        <f t="shared" ref="C157" si="14">D157/$C$12*2000</f>
        <v>0.37071721711940592</v>
      </c>
      <c r="D157" s="481">
        <f>E157*$C$16/2000</f>
        <v>1.623741410982998</v>
      </c>
      <c r="E157" s="481">
        <v>4.5599999999999996</v>
      </c>
      <c r="F157" s="430" t="s">
        <v>203</v>
      </c>
      <c r="G157" s="449" t="s">
        <v>253</v>
      </c>
      <c r="I157" s="403"/>
      <c r="J157" s="403"/>
      <c r="K157" s="403"/>
    </row>
    <row r="158" spans="2:11" s="415" customFormat="1" ht="15.75" x14ac:dyDescent="0.3">
      <c r="B158" s="103" t="s">
        <v>181</v>
      </c>
      <c r="C158" s="479">
        <f t="shared" si="13"/>
        <v>2.6828219659957007E-3</v>
      </c>
      <c r="D158" s="472">
        <f>E158*$C$16/2000</f>
        <v>1.1750760211061169E-2</v>
      </c>
      <c r="E158" s="472">
        <v>3.3000000000000002E-2</v>
      </c>
      <c r="F158" s="430" t="s">
        <v>203</v>
      </c>
      <c r="G158" s="449" t="s">
        <v>253</v>
      </c>
      <c r="I158" s="403"/>
      <c r="J158" s="403"/>
      <c r="K158" s="403"/>
    </row>
    <row r="159" spans="2:11" s="415" customFormat="1" x14ac:dyDescent="0.2">
      <c r="B159" s="103" t="s">
        <v>182</v>
      </c>
      <c r="C159" s="479">
        <f t="shared" si="13"/>
        <v>5.2843462966581985E-3</v>
      </c>
      <c r="D159" s="472">
        <f t="shared" ref="D159:D160" si="15">E159*$C$16/2000</f>
        <v>2.3145436779362909E-2</v>
      </c>
      <c r="E159" s="472">
        <v>6.5000000000000002E-2</v>
      </c>
      <c r="F159" s="430" t="s">
        <v>203</v>
      </c>
      <c r="G159" s="449" t="s">
        <v>253</v>
      </c>
      <c r="I159" s="403"/>
      <c r="J159" s="403"/>
      <c r="K159" s="403"/>
    </row>
    <row r="160" spans="2:11" s="415" customFormat="1" ht="15.75" x14ac:dyDescent="0.3">
      <c r="B160" s="103" t="s">
        <v>221</v>
      </c>
      <c r="C160" s="479">
        <f t="shared" si="13"/>
        <v>1.2601133476646473E-2</v>
      </c>
      <c r="D160" s="472">
        <f t="shared" si="15"/>
        <v>5.5192964627711553E-2</v>
      </c>
      <c r="E160" s="472">
        <v>0.155</v>
      </c>
      <c r="F160" s="430" t="s">
        <v>203</v>
      </c>
      <c r="G160" s="449" t="s">
        <v>253</v>
      </c>
      <c r="I160" s="403"/>
      <c r="J160" s="403"/>
      <c r="K160" s="403"/>
    </row>
    <row r="161" spans="2:11" s="415" customFormat="1" x14ac:dyDescent="0.2">
      <c r="B161" s="100"/>
      <c r="C161" s="105"/>
      <c r="D161" s="471"/>
      <c r="E161" s="453"/>
      <c r="F161" s="469"/>
      <c r="G161" s="449"/>
      <c r="I161" s="403"/>
      <c r="J161" s="403"/>
      <c r="K161" s="403"/>
    </row>
    <row r="162" spans="2:11" s="415" customFormat="1" x14ac:dyDescent="0.2">
      <c r="B162" s="446" t="s">
        <v>194</v>
      </c>
      <c r="C162" s="447"/>
      <c r="D162" s="111"/>
      <c r="E162" s="112"/>
      <c r="F162" s="430"/>
      <c r="G162" s="449"/>
      <c r="I162" s="403"/>
      <c r="J162" s="403"/>
      <c r="K162" s="403"/>
    </row>
    <row r="163" spans="2:11" s="415" customFormat="1" ht="15.75" x14ac:dyDescent="0.2">
      <c r="B163" s="113" t="s">
        <v>195</v>
      </c>
      <c r="C163" s="114">
        <f>D163/$C$12*2000</f>
        <v>10321.829613930106</v>
      </c>
      <c r="D163" s="475">
        <v>45209.613709013865</v>
      </c>
      <c r="E163" s="116">
        <v>118.77955530865741</v>
      </c>
      <c r="F163" s="459" t="s">
        <v>205</v>
      </c>
      <c r="G163" s="460" t="s">
        <v>222</v>
      </c>
      <c r="I163" s="403"/>
      <c r="J163" s="403"/>
      <c r="K163" s="403"/>
    </row>
    <row r="164" spans="2:11" s="415" customFormat="1" ht="15.75" x14ac:dyDescent="0.2">
      <c r="B164" s="113" t="s">
        <v>196</v>
      </c>
      <c r="C164" s="452">
        <f>D164/$C$12*2000</f>
        <v>5.0625190190037798E-2</v>
      </c>
      <c r="D164" s="475">
        <v>0.22173833303236556</v>
      </c>
      <c r="E164" s="127">
        <v>1.2169516872605241E-3</v>
      </c>
      <c r="F164" s="459" t="s">
        <v>205</v>
      </c>
      <c r="G164" s="460" t="s">
        <v>223</v>
      </c>
      <c r="I164" s="480"/>
      <c r="J164" s="403"/>
      <c r="K164" s="403"/>
    </row>
    <row r="165" spans="2:11" s="415" customFormat="1" ht="15.75" x14ac:dyDescent="0.2">
      <c r="B165" s="113" t="s">
        <v>197</v>
      </c>
      <c r="C165" s="452">
        <f>D165/$C$12*2000</f>
        <v>1.0546914622924545E-2</v>
      </c>
      <c r="D165" s="475">
        <v>4.61954860484095E-2</v>
      </c>
      <c r="E165" s="128">
        <v>2.5353160151260918E-4</v>
      </c>
      <c r="F165" s="459" t="s">
        <v>205</v>
      </c>
      <c r="G165" s="460" t="s">
        <v>223</v>
      </c>
      <c r="I165" s="403"/>
      <c r="J165" s="403"/>
      <c r="K165" s="403"/>
    </row>
    <row r="166" spans="2:11" s="415" customFormat="1" ht="15.75" x14ac:dyDescent="0.2">
      <c r="B166" s="113" t="s">
        <v>198</v>
      </c>
      <c r="C166" s="114">
        <f>D166/$C$12*2000</f>
        <v>10326.23822424249</v>
      </c>
      <c r="D166" s="123">
        <v>45228.923422182103</v>
      </c>
      <c r="E166" s="124" t="s">
        <v>199</v>
      </c>
      <c r="F166" s="474" t="s">
        <v>199</v>
      </c>
      <c r="G166" s="449" t="s">
        <v>200</v>
      </c>
      <c r="I166" s="403"/>
      <c r="J166" s="403"/>
      <c r="K166" s="403"/>
    </row>
    <row r="167" spans="2:11" s="415" customFormat="1" ht="6" customHeight="1" thickBot="1" x14ac:dyDescent="0.25">
      <c r="B167" s="441"/>
      <c r="C167" s="476"/>
      <c r="D167" s="477"/>
      <c r="E167" s="478"/>
      <c r="F167" s="478"/>
      <c r="G167" s="445"/>
      <c r="I167" s="403"/>
      <c r="J167" s="403"/>
      <c r="K167" s="403"/>
    </row>
    <row r="168" spans="2:11" ht="6" customHeight="1" x14ac:dyDescent="0.2">
      <c r="H168" s="401"/>
    </row>
  </sheetData>
  <mergeCells count="2">
    <mergeCell ref="I21:K21"/>
    <mergeCell ref="I88:K88"/>
  </mergeCells>
  <pageMargins left="0.2" right="0.2" top="0.25" bottom="0.25" header="0.05" footer="0.05"/>
  <pageSetup scale="60" fitToHeight="3" orientation="portrait" horizontalDpi="1200" verticalDpi="1200" r:id="rId1"/>
  <rowBreaks count="1" manualBreakCount="1">
    <brk id="142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aad656-1b10-457c-90e9-91a22fe1f7eb" xsi:nil="true"/>
    <lcf76f155ced4ddcb4097134ff3c332f xmlns="688d689e-5026-4cd3-ab19-d86d5abe8b8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65383296ED4D4DB0AD800770D06660" ma:contentTypeVersion="13" ma:contentTypeDescription="Create a new document." ma:contentTypeScope="" ma:versionID="d41e3362374a77cb2779b579319bf33d">
  <xsd:schema xmlns:xsd="http://www.w3.org/2001/XMLSchema" xmlns:xs="http://www.w3.org/2001/XMLSchema" xmlns:p="http://schemas.microsoft.com/office/2006/metadata/properties" xmlns:ns2="688d689e-5026-4cd3-ab19-d86d5abe8b8f" xmlns:ns3="feaad656-1b10-457c-90e9-91a22fe1f7eb" targetNamespace="http://schemas.microsoft.com/office/2006/metadata/properties" ma:root="true" ma:fieldsID="c1c471bdbf5dd940247783216cb2b2bb" ns2:_="" ns3:_="">
    <xsd:import namespace="688d689e-5026-4cd3-ab19-d86d5abe8b8f"/>
    <xsd:import namespace="feaad656-1b10-457c-90e9-91a22fe1f7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8d689e-5026-4cd3-ab19-d86d5abe8b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af121c4d-7a7c-4cad-b202-e2ff264199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aad656-1b10-457c-90e9-91a22fe1f7eb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bda6103-8379-4351-840b-17cc1c57b5f5}" ma:internalName="TaxCatchAll" ma:showField="CatchAllData" ma:web="feaad656-1b10-457c-90e9-91a22fe1f7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10FC62-3BF0-4141-927C-E78CFD4A8F8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798B3D5-C122-4F12-A50E-3E928D0B4CB9}">
  <ds:schemaRefs>
    <ds:schemaRef ds:uri="http://schemas.microsoft.com/office/2006/metadata/properties"/>
    <ds:schemaRef ds:uri="http://schemas.microsoft.com/office/infopath/2007/PartnerControls"/>
    <ds:schemaRef ds:uri="3f94263a-20bb-431b-b9e8-fae38d083436"/>
    <ds:schemaRef ds:uri="157bb656-fed6-4ead-9ce6-975c92a54292"/>
  </ds:schemaRefs>
</ds:datastoreItem>
</file>

<file path=customXml/itemProps3.xml><?xml version="1.0" encoding="utf-8"?>
<ds:datastoreItem xmlns:ds="http://schemas.openxmlformats.org/officeDocument/2006/customXml" ds:itemID="{C65B8206-DFFB-4839-BEED-699D45FB1B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25</vt:i4>
      </vt:variant>
    </vt:vector>
  </HeadingPairs>
  <TitlesOfParts>
    <vt:vector size="54" baseType="lpstr">
      <vt:lpstr>Summary --&gt;</vt:lpstr>
      <vt:lpstr>Key Inputs</vt:lpstr>
      <vt:lpstr>NSR Summary</vt:lpstr>
      <vt:lpstr>Summary_Individual</vt:lpstr>
      <vt:lpstr>PAE--&gt;</vt:lpstr>
      <vt:lpstr>NEW Boiler 5 PTE (B005)</vt:lpstr>
      <vt:lpstr>Air Toxics --&gt;</vt:lpstr>
      <vt:lpstr>Toxics Summary</vt:lpstr>
      <vt:lpstr>Baseline--&gt;</vt:lpstr>
      <vt:lpstr>PM Simple</vt:lpstr>
      <vt:lpstr>PM10 Simple</vt:lpstr>
      <vt:lpstr>PM2.5 Simple</vt:lpstr>
      <vt:lpstr>PMCOND Simple</vt:lpstr>
      <vt:lpstr>NOx Simple</vt:lpstr>
      <vt:lpstr>VOC Simple</vt:lpstr>
      <vt:lpstr>Ammonia Simple</vt:lpstr>
      <vt:lpstr>SOx Simple</vt:lpstr>
      <vt:lpstr>CO Simple</vt:lpstr>
      <vt:lpstr>Lead Simple</vt:lpstr>
      <vt:lpstr>CO2 Simple</vt:lpstr>
      <vt:lpstr>Methane Simple</vt:lpstr>
      <vt:lpstr>N2O Simple</vt:lpstr>
      <vt:lpstr>Reference--&gt;</vt:lpstr>
      <vt:lpstr>Gas Useage</vt:lpstr>
      <vt:lpstr>2020 EI</vt:lpstr>
      <vt:lpstr>2021 EI</vt:lpstr>
      <vt:lpstr>2022 EI</vt:lpstr>
      <vt:lpstr>12c. Boiler 3 (B003)</vt:lpstr>
      <vt:lpstr>12d. Boiler 4 (B004)</vt:lpstr>
      <vt:lpstr>'12c. Boiler 3 (B003)'!Print_Area</vt:lpstr>
      <vt:lpstr>'12d. Boiler 4 (B004)'!Print_Area</vt:lpstr>
      <vt:lpstr>'Ammonia Simple'!Print_Area</vt:lpstr>
      <vt:lpstr>'CO Simple'!Print_Area</vt:lpstr>
      <vt:lpstr>'CO2 Simple'!Print_Area</vt:lpstr>
      <vt:lpstr>'Key Inputs'!Print_Area</vt:lpstr>
      <vt:lpstr>'Lead Simple'!Print_Area</vt:lpstr>
      <vt:lpstr>'Methane Simple'!Print_Area</vt:lpstr>
      <vt:lpstr>'N2O Simple'!Print_Area</vt:lpstr>
      <vt:lpstr>'NEW Boiler 5 PTE (B005)'!Print_Area</vt:lpstr>
      <vt:lpstr>'NOx Simple'!Print_Area</vt:lpstr>
      <vt:lpstr>'NSR Summary'!Print_Area</vt:lpstr>
      <vt:lpstr>'PM Simple'!Print_Area</vt:lpstr>
      <vt:lpstr>'PM10 Simple'!Print_Area</vt:lpstr>
      <vt:lpstr>'PM2.5 Simple'!Print_Area</vt:lpstr>
      <vt:lpstr>'PMCOND Simple'!Print_Area</vt:lpstr>
      <vt:lpstr>'SOx Simple'!Print_Area</vt:lpstr>
      <vt:lpstr>Summary_Individual!Print_Area</vt:lpstr>
      <vt:lpstr>'Toxics Summary'!Print_Area</vt:lpstr>
      <vt:lpstr>'VOC Simple'!Print_Area</vt:lpstr>
      <vt:lpstr>'12c. Boiler 3 (B003)'!Print_Titles</vt:lpstr>
      <vt:lpstr>'12d. Boiler 4 (B004)'!Print_Titles</vt:lpstr>
      <vt:lpstr>'NEW Boiler 5 PTE (B005)'!Print_Titles</vt:lpstr>
      <vt:lpstr>Summary_Individual!Print_Titles</vt:lpstr>
      <vt:lpstr>'Toxics Summary'!Print_Titles</vt:lpstr>
    </vt:vector>
  </TitlesOfParts>
  <Manager/>
  <Company>United States Steel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Baker Jr., Inc.</dc:creator>
  <cp:keywords/>
  <dc:description/>
  <cp:lastModifiedBy>Ajenifuja, Hafeez</cp:lastModifiedBy>
  <cp:revision/>
  <dcterms:created xsi:type="dcterms:W3CDTF">2012-01-20T15:57:37Z</dcterms:created>
  <dcterms:modified xsi:type="dcterms:W3CDTF">2026-06-02T15:01:21Z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0x0101008C65383296ED4D4DB0AD800770D06660</vt:lpwstr>
  </property>
  <property fmtid="{D5CDD505-2E9C-101B-9397-08002B2CF9AE}" pid="3" name="MediaServiceImageTags">
    <vt:lpwstr/>
  </property>
</Properties>
</file>