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18" documentId="8_{A2C1F60C-5735-44D7-B0D5-4D3BCD20E0A1}" xr6:coauthVersionLast="47" xr6:coauthVersionMax="47" xr10:uidLastSave="{EF40DF96-0654-4BC1-8E54-C7BC65D3B6DD}"/>
  <bookViews>
    <workbookView xWindow="-120" yWindow="-120" windowWidth="29040" windowHeight="15720" activeTab="2" xr2:uid="{1D7D8689-B1C6-453B-8B22-0A998EBA4283}"/>
  </bookViews>
  <sheets>
    <sheet name="1. Step 1 Evaluation" sheetId="103" r:id="rId1"/>
    <sheet name="2. Project Emissions Summary" sheetId="148" r:id="rId2"/>
    <sheet name="3. Future Emissions Summary" sheetId="18" r:id="rId3"/>
    <sheet name="4. Slag Gran_New" sheetId="119" r:id="rId4"/>
    <sheet name="4a. Slag Quenching_Exist" sheetId="151" r:id="rId5"/>
    <sheet name="5. Slag Handling_New" sheetId="124" r:id="rId6"/>
    <sheet name="5a. Slag Pit Handl_Exist" sheetId="150" r:id="rId7"/>
    <sheet name="6. Roads_Future" sheetId="127" r:id="rId8"/>
    <sheet name="7. Storage Piles Erosion" sheetId="128" r:id="rId9"/>
    <sheet name="Baseline--&gt;" sheetId="132" r:id="rId10"/>
    <sheet name="8a. Baseline Em_Report" sheetId="130" r:id="rId11"/>
    <sheet name="8b. Baseline Emissions_Other" sheetId="129" r:id="rId12"/>
    <sheet name="9. Baseline Roadway Emissions" sheetId="144" r:id="rId13"/>
    <sheet name="Road Calcs--&gt;" sheetId="133" r:id="rId14"/>
    <sheet name="Roads BAE 19" sheetId="139" r:id="rId15"/>
    <sheet name="Roads BAE 20" sheetId="140" r:id="rId16"/>
    <sheet name="Roads BAE 21" sheetId="141" r:id="rId17"/>
  </sheets>
  <definedNames>
    <definedName name="____kb1" hidden="1">{#N/A,#N/A,FALSE,"F1-Currrent";#N/A,#N/A,FALSE,"F2-Current";#N/A,#N/A,FALSE,"F2-Proposed";#N/A,#N/A,FALSE,"F3-Current";#N/A,#N/A,FALSE,"F4-Current";#N/A,#N/A,FALSE,"F4-Proposed";#N/A,#N/A,FALSE,"Controls"}</definedName>
    <definedName name="___kb1" hidden="1">{#N/A,#N/A,FALSE,"F1-Currrent";#N/A,#N/A,FALSE,"F2-Current";#N/A,#N/A,FALSE,"F2-Proposed";#N/A,#N/A,FALSE,"F3-Current";#N/A,#N/A,FALSE,"F4-Current";#N/A,#N/A,FALSE,"F4-Proposed";#N/A,#N/A,FALSE,"Controls"}</definedName>
    <definedName name="__123Graph_B" localSheetId="1" hidden="1">#REF!</definedName>
    <definedName name="__123Graph_B" localSheetId="2" hidden="1">#REF!</definedName>
    <definedName name="__123Graph_B" localSheetId="3" hidden="1">#REF!</definedName>
    <definedName name="__123Graph_B" localSheetId="4" hidden="1">#REF!</definedName>
    <definedName name="__123Graph_B" localSheetId="5" hidden="1">#REF!</definedName>
    <definedName name="__123Graph_B" localSheetId="6" hidden="1">#REF!</definedName>
    <definedName name="__123Graph_B" hidden="1">#REF!</definedName>
    <definedName name="__IntlFixup" hidden="1">TRUE</definedName>
    <definedName name="__IntlFixupTable" hidden="1">#REF!</definedName>
    <definedName name="__kb1" hidden="1">{#N/A,#N/A,FALSE,"F1-Currrent";#N/A,#N/A,FALSE,"F2-Current";#N/A,#N/A,FALSE,"F2-Proposed";#N/A,#N/A,FALSE,"F3-Current";#N/A,#N/A,FALSE,"F4-Current";#N/A,#N/A,FALSE,"F4-Proposed";#N/A,#N/A,FALSE,"Controls"}</definedName>
    <definedName name="_1_0_S" hidden="1">#REF!</definedName>
    <definedName name="_Fill" hidden="1">#REF!</definedName>
    <definedName name="_Fill2" hidden="1">#REF!</definedName>
    <definedName name="_xlnm._FilterDatabase" localSheetId="1" hidden="1">'2. Project Emissions Summary'!$B$9:$U$20</definedName>
    <definedName name="_kb1" hidden="1">{#N/A,#N/A,FALSE,"F1-Currrent";#N/A,#N/A,FALSE,"F2-Current";#N/A,#N/A,FALSE,"F2-Proposed";#N/A,#N/A,FALSE,"F3-Current";#N/A,#N/A,FALSE,"F4-Current";#N/A,#N/A,FALSE,"F4-Proposed";#N/A,#N/A,FALSE,"Controls"}</definedName>
    <definedName name="_Key1" hidden="1">#REF!</definedName>
    <definedName name="_Key2" hidden="1">#REF!</definedName>
    <definedName name="_Order1" hidden="1">255</definedName>
    <definedName name="_Order2" hidden="1">255</definedName>
    <definedName name="_Sort" localSheetId="1" hidden="1">#REF!</definedName>
    <definedName name="_Sort" localSheetId="3" hidden="1">#REF!</definedName>
    <definedName name="_Sort" localSheetId="4" hidden="1">#REF!</definedName>
    <definedName name="_Sort" localSheetId="5" hidden="1">#REF!</definedName>
    <definedName name="_Sort" localSheetId="6" hidden="1">#REF!</definedName>
    <definedName name="_Sort" hidden="1">#REF!</definedName>
    <definedName name="a" localSheetId="1" hidden="1">{#N/A,#N/A,FALSE,"Annual Summary";#N/A,#N/A,FALSE,"Hourly Summary";#N/A,#N/A,FALSE,"Flare Combustion";#N/A,#N/A,FALSE,"Shipping";#N/A,#N/A,FALSE,"Process Turnaround";#N/A,#N/A,FALSE,"Lab Samples";#N/A,#N/A,FALSE,"Product Cycles 5-4";#N/A,#N/A,FALSE,"5-4.1";#N/A,#N/A,FALSE,"5-4.2";#N/A,#N/A,FALSE,"Physical Prop Data"}</definedName>
    <definedName name="a" hidden="1">{#N/A,#N/A,FALSE,"Annual Summary";#N/A,#N/A,FALSE,"Hourly Summary";#N/A,#N/A,FALSE,"Flare Combustion";#N/A,#N/A,FALSE,"Shipping";#N/A,#N/A,FALSE,"Process Turnaround";#N/A,#N/A,FALSE,"Lab Samples";#N/A,#N/A,FALSE,"Product Cycles 5-4";#N/A,#N/A,FALSE,"5-4.1";#N/A,#N/A,FALSE,"5-4.2";#N/A,#N/A,FALSE,"Physical Prop Data"}</definedName>
    <definedName name="A16BLA3Ar"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aa" localSheetId="1" hidden="1">{#N/A,#N/A,FALSE,"Annual Summary";#N/A,#N/A,FALSE,"Hourly Summary";#N/A,#N/A,FALSE,"Flare Combustion";#N/A,#N/A,FALSE,"Shipping";#N/A,#N/A,FALSE,"Process Turnaround";#N/A,#N/A,FALSE,"Lab Samples";#N/A,#N/A,FALSE,"Product Cycles 5-4";#N/A,#N/A,FALSE,"5-4.1";#N/A,#N/A,FALSE,"5-4.2";#N/A,#N/A,FALSE,"Physical Prop Data"}</definedName>
    <definedName name="aa" hidden="1">{#N/A,#N/A,FALSE,"Annual Summary";#N/A,#N/A,FALSE,"Hourly Summary";#N/A,#N/A,FALSE,"Flare Combustion";#N/A,#N/A,FALSE,"Shipping";#N/A,#N/A,FALSE,"Process Turnaround";#N/A,#N/A,FALSE,"Lab Samples";#N/A,#N/A,FALSE,"Product Cycles 5-4";#N/A,#N/A,FALSE,"5-4.1";#N/A,#N/A,FALSE,"5-4.2";#N/A,#N/A,FALSE,"Physical Prop Data"}</definedName>
    <definedName name="aabbcc" localSheetId="1" hidden="1">{#N/A,#N/A,FALSE,"Annual Summary";#N/A,#N/A,FALSE,"Hourly Summary";#N/A,#N/A,FALSE,"Flare Combustion";#N/A,#N/A,FALSE,"Shipping";#N/A,#N/A,FALSE,"Process Turnaround";#N/A,#N/A,FALSE,"Lab Samples";#N/A,#N/A,FALSE,"Product Cycles 5-4";#N/A,#N/A,FALSE,"5-4.1";#N/A,#N/A,FALSE,"5-4.2";#N/A,#N/A,FALSE,"Physical Prop Data"}</definedName>
    <definedName name="aabbcc" hidden="1">{#N/A,#N/A,FALSE,"Annual Summary";#N/A,#N/A,FALSE,"Hourly Summary";#N/A,#N/A,FALSE,"Flare Combustion";#N/A,#N/A,FALSE,"Shipping";#N/A,#N/A,FALSE,"Process Turnaround";#N/A,#N/A,FALSE,"Lab Samples";#N/A,#N/A,FALSE,"Product Cycles 5-4";#N/A,#N/A,FALSE,"5-4.1";#N/A,#N/A,FALSE,"5-4.2";#N/A,#N/A,FALSE,"Physical Prop Data"}</definedName>
    <definedName name="aappii" localSheetId="1" hidden="1">{#N/A,#N/A,FALSE,"Annual Summary";#N/A,#N/A,FALSE,"Hourly Summary";#N/A,#N/A,FALSE,"Flare Combustion";#N/A,#N/A,FALSE,"Shipping";#N/A,#N/A,FALSE,"Process Turnaround";#N/A,#N/A,FALSE,"Lab Samples";#N/A,#N/A,FALSE,"Product Cycles 5-4";#N/A,#N/A,FALSE,"5-4.1";#N/A,#N/A,FALSE,"5-4.2";#N/A,#N/A,FALSE,"Physical Prop Data"}</definedName>
    <definedName name="aappii" hidden="1">{#N/A,#N/A,FALSE,"Annual Summary";#N/A,#N/A,FALSE,"Hourly Summary";#N/A,#N/A,FALSE,"Flare Combustion";#N/A,#N/A,FALSE,"Shipping";#N/A,#N/A,FALSE,"Process Turnaround";#N/A,#N/A,FALSE,"Lab Samples";#N/A,#N/A,FALSE,"Product Cycles 5-4";#N/A,#N/A,FALSE,"5-4.1";#N/A,#N/A,FALSE,"5-4.2";#N/A,#N/A,FALSE,"Physical Prop Data"}</definedName>
    <definedName name="abc" localSheetId="1" hidden="1">{#N/A,#N/A,FALSE,"Annual Summary";#N/A,#N/A,FALSE,"Hourly Summary";#N/A,#N/A,FALSE,"Flare Combustion";#N/A,#N/A,FALSE,"Shipping";#N/A,#N/A,FALSE,"Process Turnaround";#N/A,#N/A,FALSE,"Lab Samples";#N/A,#N/A,FALSE,"Product Cycles 5-4";#N/A,#N/A,FALSE,"5-4.1";#N/A,#N/A,FALSE,"5-4.2";#N/A,#N/A,FALSE,"Physical Prop Data"}</definedName>
    <definedName name="abc" hidden="1">{#N/A,#N/A,FALSE,"Annual Summary";#N/A,#N/A,FALSE,"Hourly Summary";#N/A,#N/A,FALSE,"Flare Combustion";#N/A,#N/A,FALSE,"Shipping";#N/A,#N/A,FALSE,"Process Turnaround";#N/A,#N/A,FALSE,"Lab Samples";#N/A,#N/A,FALSE,"Product Cycles 5-4";#N/A,#N/A,FALSE,"5-4.1";#N/A,#N/A,FALSE,"5-4.2";#N/A,#N/A,FALSE,"Physical Prop Data"}</definedName>
    <definedName name="anscount" hidden="1">2</definedName>
    <definedName name="asdf" localSheetId="1" hidden="1">{#N/A,#N/A,FALSE,"Annual Summary";#N/A,#N/A,FALSE,"Hourly Summary";#N/A,#N/A,FALSE,"Flare Combustion";#N/A,#N/A,FALSE,"Shipping";#N/A,#N/A,FALSE,"Process Turnaround";#N/A,#N/A,FALSE,"Lab Samples";#N/A,#N/A,FALSE,"Product Cycles 5-4";#N/A,#N/A,FALSE,"5-4.1";#N/A,#N/A,FALSE,"5-4.2";#N/A,#N/A,FALSE,"Physical Prop Data"}</definedName>
    <definedName name="asdf" hidden="1">{#N/A,#N/A,FALSE,"Annual Summary";#N/A,#N/A,FALSE,"Hourly Summary";#N/A,#N/A,FALSE,"Flare Combustion";#N/A,#N/A,FALSE,"Shipping";#N/A,#N/A,FALSE,"Process Turnaround";#N/A,#N/A,FALSE,"Lab Samples";#N/A,#N/A,FALSE,"Product Cycles 5-4";#N/A,#N/A,FALSE,"5-4.1";#N/A,#N/A,FALSE,"5-4.2";#N/A,#N/A,FALSE,"Physical Prop Data"}</definedName>
    <definedName name="B" localSheetId="1" hidden="1">{#N/A,#N/A,FALSE,"Annual Summary";#N/A,#N/A,FALSE,"Hourly Summary";#N/A,#N/A,FALSE,"Flare Combustion";#N/A,#N/A,FALSE,"Shipping";#N/A,#N/A,FALSE,"Process Turnaround";#N/A,#N/A,FALSE,"Lab Samples";#N/A,#N/A,FALSE,"Product Cycles 5-4";#N/A,#N/A,FALSE,"5-4.1";#N/A,#N/A,FALSE,"5-4.2";#N/A,#N/A,FALSE,"Physical Prop Data"}</definedName>
    <definedName name="B" hidden="1">{#N/A,#N/A,FALSE,"Annual Summary";#N/A,#N/A,FALSE,"Hourly Summary";#N/A,#N/A,FALSE,"Flare Combustion";#N/A,#N/A,FALSE,"Shipping";#N/A,#N/A,FALSE,"Process Turnaround";#N/A,#N/A,FALSE,"Lab Samples";#N/A,#N/A,FALSE,"Product Cycles 5-4";#N/A,#N/A,FALSE,"5-4.1";#N/A,#N/A,FALSE,"5-4.2";#N/A,#N/A,FALSE,"Physical Prop Data"}</definedName>
    <definedName name="Combined" localSheetId="1">Summary,Detailed</definedName>
    <definedName name="Combined" localSheetId="3">Summary,Detailed</definedName>
    <definedName name="Combined" localSheetId="4">Summary,Detailed</definedName>
    <definedName name="Combined" localSheetId="5">Summary,Detailed</definedName>
    <definedName name="Combined" localSheetId="6">Summary,Detailed</definedName>
    <definedName name="Combined" localSheetId="10">Summary,Detailed</definedName>
    <definedName name="Combined" localSheetId="12">Summary,Detailed</definedName>
    <definedName name="Combined" localSheetId="14">Summary,Detailed</definedName>
    <definedName name="Combined" localSheetId="15">Summary,Detailed</definedName>
    <definedName name="Combined" localSheetId="16">Summary,Detailed</definedName>
    <definedName name="Combined">Summary,Detailed</definedName>
    <definedName name="Combined_1" localSheetId="3">Summary,Detailed</definedName>
    <definedName name="Combined_1" localSheetId="4">Summary,Detailed</definedName>
    <definedName name="Combined_1" localSheetId="5">Summary,Detailed</definedName>
    <definedName name="Combined_1" localSheetId="6">Summary,Detailed</definedName>
    <definedName name="Combined_1" localSheetId="10">Summary,Detailed</definedName>
    <definedName name="Combined_1" localSheetId="12">Summary,Detailed</definedName>
    <definedName name="Combined_1" localSheetId="14">Summary,Detailed</definedName>
    <definedName name="Combined_1" localSheetId="15">Summary,Detailed</definedName>
    <definedName name="Combined_1" localSheetId="16">Summary,Detailed</definedName>
    <definedName name="Combined_1">Summary,Detailed</definedName>
    <definedName name="Combined_2" localSheetId="3">Summary,Detailed</definedName>
    <definedName name="Combined_2" localSheetId="4">Summary,Detailed</definedName>
    <definedName name="Combined_2" localSheetId="5">Summary,Detailed</definedName>
    <definedName name="Combined_2" localSheetId="6">Summary,Detailed</definedName>
    <definedName name="Combined_2" localSheetId="10">Summary,Detailed</definedName>
    <definedName name="Combined_2" localSheetId="12">Summary,Detailed</definedName>
    <definedName name="Combined_2" localSheetId="14">Summary,Detailed</definedName>
    <definedName name="Combined_2" localSheetId="15">Summary,Detailed</definedName>
    <definedName name="Combined_2" localSheetId="16">Summary,Detailed</definedName>
    <definedName name="Combined_2">Summary,Detailed</definedName>
    <definedName name="COMMITTED" hidden="1">"TRUE"</definedName>
    <definedName name="Compressor2" localSheetId="4">[0]!Summary,[0]!Detailed</definedName>
    <definedName name="Compressor2" localSheetId="6">[0]!Summary,[0]!Detailed</definedName>
    <definedName name="Compressor2">[0]!Summary,[0]!Detailed</definedName>
    <definedName name="dasf" hidden="1">#REF!</definedName>
    <definedName name="data1" hidden="1">#REF!</definedName>
    <definedName name="data2" hidden="1">#REF!</definedName>
    <definedName name="data3" hidden="1">#REF!</definedName>
    <definedName name="ddd" hidden="1">{"Detailed",#N/A,FALSE,"GAS-COMB";"Summary",#N/A,FALSE,"GAS-COMB"}</definedName>
    <definedName name="Discount" hidden="1">#REF!</definedName>
    <definedName name="display_area_2" hidden="1">#REF!</definedName>
    <definedName name="ee" hidden="1">{#N/A,#N/A,FALSE,"Rates";#N/A,#N/A,FALSE,"Summary";#N/A,#N/A,FALSE,"Boilers";#N/A,#N/A,FALSE,"Cyclones";#N/A,#N/A,FALSE,"Saws";#N/A,#N/A,FALSE,"Drops";#N/A,#N/A,FALSE,"Piles";#N/A,#N/A,FALSE,"Roads";#N/A,#N/A,FALSE,"Tanks";#N/A,#N/A,FALSE,"Kilns";#N/A,#N/A,FALSE,"Model"}</definedName>
    <definedName name="fasdfsdaf" hidden="1">#REF!</definedName>
    <definedName name="FCode" hidden="1">#REF!</definedName>
    <definedName name="FCode1" hidden="1">#REF!</definedName>
    <definedName name="HiddenRows" hidden="1">#REF!</definedName>
    <definedName name="jk" hidden="1">#REF!</definedName>
    <definedName name="kb" hidden="1">{#N/A,#N/A,FALSE,"F1-Currrent";#N/A,#N/A,FALSE,"F2-Current";#N/A,#N/A,FALSE,"F2-Proposed";#N/A,#N/A,FALSE,"F3-Current";#N/A,#N/A,FALSE,"F4-Current";#N/A,#N/A,FALSE,"F4-Proposed";#N/A,#N/A,FALSE,"Controls"}</definedName>
    <definedName name="leah" localSheetId="1" hidden="1">{#N/A,#N/A,FALSE,"Annual Summary";#N/A,#N/A,FALSE,"Hourly Summary";#N/A,#N/A,FALSE,"Flare Combustion";#N/A,#N/A,FALSE,"Shipping";#N/A,#N/A,FALSE,"Process Turnaround";#N/A,#N/A,FALSE,"Lab Samples";#N/A,#N/A,FALSE,"Product Cycles 5-4";#N/A,#N/A,FALSE,"5-4.1";#N/A,#N/A,FALSE,"5-4.2";#N/A,#N/A,FALSE,"Physical Prop Data"}</definedName>
    <definedName name="leah" hidden="1">{#N/A,#N/A,FALSE,"Annual Summary";#N/A,#N/A,FALSE,"Hourly Summary";#N/A,#N/A,FALSE,"Flare Combustion";#N/A,#N/A,FALSE,"Shipping";#N/A,#N/A,FALSE,"Process Turnaround";#N/A,#N/A,FALSE,"Lab Samples";#N/A,#N/A,FALSE,"Product Cycles 5-4";#N/A,#N/A,FALSE,"5-4.1";#N/A,#N/A,FALSE,"5-4.2";#N/A,#N/A,FALSE,"Physical Prop Data"}</definedName>
    <definedName name="mg" hidden="1">{#N/A,#N/A,FALSE,"F1-Currrent";#N/A,#N/A,FALSE,"F2-Current";#N/A,#N/A,FALSE,"F2-Proposed";#N/A,#N/A,FALSE,"F3-Current";#N/A,#N/A,FALSE,"F4-Current";#N/A,#N/A,FALSE,"F4-Proposed";#N/A,#N/A,FALSE,"Controls"}</definedName>
    <definedName name="OrderTable" hidden="1">#REF!</definedName>
    <definedName name="OriginalName" hidden="1">"C30-PLUS1"</definedName>
    <definedName name="_xlnm.Print_Area" localSheetId="0">'1. Step 1 Evaluation'!$B$2:$H$36</definedName>
    <definedName name="_xlnm.Print_Area" localSheetId="1">'2. Project Emissions Summary'!$B$2:$T$21</definedName>
    <definedName name="_xlnm.Print_Area" localSheetId="2">'3. Future Emissions Summary'!$A$3:$V$20</definedName>
    <definedName name="_xlnm.Print_Area" localSheetId="3">'4. Slag Gran_New'!$B$3:$G$53</definedName>
    <definedName name="_xlnm.Print_Area" localSheetId="4">'4a. Slag Quenching_Exist'!$B$3:$G$54</definedName>
    <definedName name="_xlnm.Print_Area" localSheetId="5">'5. Slag Handling_New'!$B$3:$H$56</definedName>
    <definedName name="_xlnm.Print_Area" localSheetId="6">'5a. Slag Pit Handl_Exist'!$B$3:$G$41</definedName>
    <definedName name="_xlnm.Print_Area" localSheetId="7">'6. Roads_Future'!$A$3:$L$98</definedName>
    <definedName name="_xlnm.Print_Area" localSheetId="10">'8a. Baseline Em_Report'!$A$1:$R$40</definedName>
    <definedName name="_xlnm.Print_Area" localSheetId="11">'8b. Baseline Emissions_Other'!$A$1:$W$56</definedName>
    <definedName name="_xlnm.Print_Area" localSheetId="12">'9. Baseline Roadway Emissions'!$A$1:$S$35</definedName>
    <definedName name="_xlnm.Print_Area" localSheetId="14">'Roads BAE 19'!$B$2:$O$88</definedName>
    <definedName name="_xlnm.Print_Area" localSheetId="15">'Roads BAE 20'!$B$2:$O$88</definedName>
    <definedName name="_xlnm.Print_Area" localSheetId="16">'Roads BAE 21'!$B$2:$O$88</definedName>
    <definedName name="_xlnm.Print_Titles" localSheetId="2">'3. Future Emissions Summary'!$3:$10</definedName>
    <definedName name="_xlnm.Print_Titles" localSheetId="3">'4. Slag Gran_New'!$3:$10</definedName>
    <definedName name="_xlnm.Print_Titles" localSheetId="4">'4a. Slag Quenching_Exist'!$3:$10</definedName>
    <definedName name="_xlnm.Print_Titles" localSheetId="5">'5. Slag Handling_New'!$3:$10</definedName>
    <definedName name="_xlnm.Print_Titles" localSheetId="6">'5a. Slag Pit Handl_Exist'!$3:$10</definedName>
    <definedName name="_xlnm.Print_Titles" localSheetId="7">'6. Roads_Future'!$3:$5</definedName>
    <definedName name="_xlnm.Print_Titles" localSheetId="10">'8a. Baseline Em_Report'!$3:$9</definedName>
    <definedName name="_xlnm.Print_Titles" localSheetId="11">'8b. Baseline Emissions_Other'!$3:$9</definedName>
    <definedName name="_xlnm.Print_Titles" localSheetId="12">'9. Baseline Roadway Emissions'!$3:$10</definedName>
    <definedName name="_xlnm.Print_Titles" localSheetId="14">'Roads BAE 19'!$2:$4</definedName>
    <definedName name="_xlnm.Print_Titles" localSheetId="15">'Roads BAE 20'!$2:$4</definedName>
    <definedName name="_xlnm.Print_Titles" localSheetId="16">'Roads BAE 21'!$2:$4</definedName>
    <definedName name="ProdForm" hidden="1">#REF!</definedName>
    <definedName name="Product" hidden="1">#REF!</definedName>
    <definedName name="RCArea" hidden="1">#REF!</definedName>
    <definedName name="RY_Values" localSheetId="4">OFFSET([0]!RX_Values,0,2)</definedName>
    <definedName name="RY_Values" localSheetId="6">OFFSET([0]!RX_Values,0,2)</definedName>
    <definedName name="RY_Values">OFFSET([0]!RX_Values,0,2)</definedName>
    <definedName name="sencount" hidden="1">2</definedName>
    <definedName name="SpecialPrice" hidden="1">#REF!</definedName>
    <definedName name="TableName">"Dummy"</definedName>
    <definedName name="tbl_ProdInfo" hidden="1">#REF!</definedName>
    <definedName name="test" localSheetId="1" hidden="1">{"Detailed",#N/A,FALSE,"GAS-COMB";"Summary",#N/A,FALSE,"GAS-COMB"}</definedName>
    <definedName name="test" localSheetId="2" hidden="1">{"Detailed",#N/A,FALSE,"GAS-COMB";"Summary",#N/A,FALSE,"GAS-COMB"}</definedName>
    <definedName name="test" hidden="1">{"Detailed",#N/A,FALSE,"GAS-COMB";"Summary",#N/A,FALSE,"GAS-COMB"}</definedName>
    <definedName name="testing" localSheetId="1" hidden="1">{"Detailed",#N/A,FALSE,"GAS-COMB";"Summary",#N/A,FALSE,"GAS-COMB"}</definedName>
    <definedName name="testing" localSheetId="2" hidden="1">{"Detailed",#N/A,FALSE,"GAS-COMB";"Summary",#N/A,FALSE,"GAS-COMB"}</definedName>
    <definedName name="testing" hidden="1">{"Detailed",#N/A,FALSE,"GAS-COMB";"Summary",#N/A,FALSE,"GAS-COMB"}</definedName>
    <definedName name="thissheet">"[Working Balance PFD Rev G.xls]Material Balance"</definedName>
    <definedName name="Turbine" hidden="1">{"Detailed",#N/A,FALSE,"GAS-COMB";"Summary",#N/A,FALSE,"GAS-COMB"}</definedName>
    <definedName name="Turbine2" localSheetId="1" hidden="1">{"Detailed",#N/A,FALSE,"GAS-COMB";"Summary",#N/A,FALSE,"GAS-COMB"}</definedName>
    <definedName name="Turbine2" hidden="1">{"Detailed",#N/A,FALSE,"GAS-COMB";"Summary",#N/A,FALSE,"GAS-COMB"}</definedName>
    <definedName name="UNI_AA_VERSION" hidden="1">"150.2.0"</definedName>
    <definedName name="UNI_FILT_END" hidden="1">8</definedName>
    <definedName name="UNI_FILT_OFFSPEC" hidden="1">2</definedName>
    <definedName name="UNI_FILT_ONSPEC" hidden="1">1</definedName>
    <definedName name="UNI_FILT_START" hidden="1">4</definedName>
    <definedName name="UNI_NOTHING" hidden="1">0</definedName>
    <definedName name="UNI_PRES_CLOSEST" hidden="1">512</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MRECORD" hidden="1">64</definedName>
    <definedName name="UNI_PRES_OUTLIERS" hidden="1">32</definedName>
    <definedName name="UNI_PRES_POST" hidden="1">256</definedName>
    <definedName name="UNI_PRES_PRIOR" hidden="1">2048</definedName>
    <definedName name="UNI_PRES_RECENT" hidden="1">1024</definedName>
    <definedName name="UNI_PRES_STATIC" hidden="1">128</definedName>
    <definedName name="UNI_RET_ATTRIB" hidden="1">64</definedName>
    <definedName name="UNI_RET_CONF" hidden="1">32</definedName>
    <definedName name="UNI_RET_DESC" hidden="1">4</definedName>
    <definedName name="UNI_RET_END" hidden="1">16384</definedName>
    <definedName name="UNI_RET_EQUIP" hidden="1">1</definedName>
    <definedName name="UNI_RET_EVENT" hidden="1">4096</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START" hidden="1">8192</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FORMANCES1R1C6" localSheetId="1" hidden="1">#REF!</definedName>
    <definedName name="UNIFORMANCES1R1C6" hidden="1">#REF!</definedName>
    <definedName name="UNIFORMANCES1R2C3" localSheetId="1" hidden="1">#REF!</definedName>
    <definedName name="UNIFORMANCES1R2C3" localSheetId="2" hidden="1">#REF!</definedName>
    <definedName name="UNIFORMANCES1R2C3" localSheetId="3" hidden="1">#REF!</definedName>
    <definedName name="UNIFORMANCES1R2C3" localSheetId="4" hidden="1">#REF!</definedName>
    <definedName name="UNIFORMANCES1R2C3" localSheetId="5" hidden="1">#REF!</definedName>
    <definedName name="UNIFORMANCES1R2C3" localSheetId="6" hidden="1">#REF!</definedName>
    <definedName name="UNIFORMANCES1R2C3" hidden="1">#REF!</definedName>
    <definedName name="UNIFORMANCES1R3C4" hidden="1">#N/A</definedName>
    <definedName name="UNIFORMANCES1R7C1" hidden="1">#REF!</definedName>
    <definedName name="UNIFORMANCES1R7C13" hidden="1">#REF!</definedName>
    <definedName name="UNIFORMANCES1R7C17" hidden="1">#REF!</definedName>
    <definedName name="UNIFORMANCES1R7C21" hidden="1">#REF!</definedName>
    <definedName name="UNIFORMANCES1R7C25" hidden="1">#REF!</definedName>
    <definedName name="UNIFORMANCES1R7C29" hidden="1">#REF!</definedName>
    <definedName name="UNIFORMANCES1R7C33" hidden="1">#REF!</definedName>
    <definedName name="UNIFORMANCES1R7C37" hidden="1">#REF!</definedName>
    <definedName name="UNIFORMANCES1R7C41" hidden="1">#REF!</definedName>
    <definedName name="UNIFORMANCES1R7C45" hidden="1">#REF!</definedName>
    <definedName name="UNIFORMANCES1R7C5" hidden="1">#REF!</definedName>
    <definedName name="UNIFORMANCES1R7C9" hidden="1">#REF!</definedName>
    <definedName name="UNIFORMANCES2R7C1" hidden="1">#REF!</definedName>
    <definedName name="UNIFORMANCES2R7C13" hidden="1">#REF!</definedName>
    <definedName name="UNIFORMANCES2R7C17" hidden="1">#REF!</definedName>
    <definedName name="UNIFORMANCES2R7C21" hidden="1">#REF!</definedName>
    <definedName name="UNIFORMANCES2R7C25" hidden="1">#REF!</definedName>
    <definedName name="UNIFORMANCES2R7C29" hidden="1">#REF!</definedName>
    <definedName name="UNIFORMANCES2R7C33" hidden="1">#REF!</definedName>
    <definedName name="UNIFORMANCES2R7C37" hidden="1">#REF!</definedName>
    <definedName name="UNIFORMANCES2R7C41" hidden="1">#REF!</definedName>
    <definedName name="UNIFORMANCES2R7C45" hidden="1">#REF!</definedName>
    <definedName name="UNIFORMANCES2R7C5" hidden="1">#REF!</definedName>
    <definedName name="UNIFORMANCES2R7C9" hidden="1">#REF!</definedName>
    <definedName name="UNIFORMANCES7R10C1" localSheetId="1" hidden="1">#REF!</definedName>
    <definedName name="UNIFORMANCES7R10C1" localSheetId="2" hidden="1">#REF!</definedName>
    <definedName name="UNIFORMANCES7R10C1" localSheetId="3" hidden="1">#REF!</definedName>
    <definedName name="UNIFORMANCES7R10C1" localSheetId="4" hidden="1">#REF!</definedName>
    <definedName name="UNIFORMANCES7R10C1" localSheetId="5" hidden="1">#REF!</definedName>
    <definedName name="UNIFORMANCES7R10C1" localSheetId="6" hidden="1">#REF!</definedName>
    <definedName name="UNIFORMANCES7R10C1" hidden="1">#REF!</definedName>
    <definedName name="UNIT_LBHR">"(lb/hr)"</definedName>
    <definedName name="UNIT_LBTON">"(lb/ton)"</definedName>
    <definedName name="Westport_Logo">"Object 1"</definedName>
    <definedName name="wrn.1996._.Emission._.Inventory."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wrn.Appendix._.A." localSheetId="1" hidden="1">{#N/A,#N/A,TRUE,"Kiln-NOx-OxRed Scrubber";#N/A,#N/A,TRUE,"Kiln-SO2-Wet Scrubber";#N/A,#N/A,TRUE,"Slaker-PM-Scrubber";#N/A,#N/A,TRUE,"Combo-SO2-Wet Scrubber";#N/A,#N/A,TRUE,"Combo-SO2-DualAlkali";#N/A,#N/A,TRUE,"Combo-SO2-Spray Dryer ESP";#N/A,#N/A,TRUE,"CRU-NOx-OxRed Scrubber";#N/A,#N/A,TRUE,"CRU-SO2-Wet Scrubber";#N/A,#N/A,TRUE,"SDT-PM-Wet ESP";#N/A,#N/A,TRUE,"SDT-VOC-TO";#N/A,#N/A,TRUE,"Package-CO-TO";#N/A,#N/A,TRUE,"Package-PM-Baghouse";#N/A,#N/A,TRUE,"Package-PM-ESP";#N/A,#N/A,TRUE,"Package-PM-Venturi";#N/A,#N/A,TRUE,"Package-NOx-OxRed Scrubber";#N/A,#N/A,TRUE,"Package-NOx-SCR";#N/A,#N/A,TRUE,"Package-SO2-Wet Scrubber";#N/A,#N/A,TRUE,"Package-SO2-Spray Drier ESP";#N/A,#N/A,TRUE,"Power-CO-TO";#N/A,#N/A,TRUE,"Power-PM-Baghouse";#N/A,#N/A,TRUE,"Power-PM-ESP";#N/A,#N/A,TRUE,"Power-PM-Venturi";#N/A,#N/A,TRUE,"Power-NOx-OxRed Scrubber";#N/A,#N/A,TRUE,"Power-NOx-SCR";#N/A,#N/A,TRUE,"Power-SO2-Wet Lime Scrubber";#N/A,#N/A,TRUE,"Power-SO2-Spray Drier ESP";#N/A,#N/A,TRUE,"No.1 PM-VOC-Super";#N/A,#N/A,TRUE,"No.1 PM-VOC-Enhanced"}</definedName>
    <definedName name="wrn.Appendix._.A." localSheetId="2" hidden="1">{#N/A,#N/A,TRUE,"Kiln-NOx-OxRed Scrubber";#N/A,#N/A,TRUE,"Kiln-SO2-Wet Scrubber";#N/A,#N/A,TRUE,"Slaker-PM-Scrubber";#N/A,#N/A,TRUE,"Combo-SO2-Wet Scrubber";#N/A,#N/A,TRUE,"Combo-SO2-DualAlkali";#N/A,#N/A,TRUE,"Combo-SO2-Spray Dryer ESP";#N/A,#N/A,TRUE,"CRU-NOx-OxRed Scrubber";#N/A,#N/A,TRUE,"CRU-SO2-Wet Scrubber";#N/A,#N/A,TRUE,"SDT-PM-Wet ESP";#N/A,#N/A,TRUE,"SDT-VOC-TO";#N/A,#N/A,TRUE,"Package-CO-TO";#N/A,#N/A,TRUE,"Package-PM-Baghouse";#N/A,#N/A,TRUE,"Package-PM-ESP";#N/A,#N/A,TRUE,"Package-PM-Venturi";#N/A,#N/A,TRUE,"Package-NOx-OxRed Scrubber";#N/A,#N/A,TRUE,"Package-NOx-SCR";#N/A,#N/A,TRUE,"Package-SO2-Wet Scrubber";#N/A,#N/A,TRUE,"Package-SO2-Spray Drier ESP";#N/A,#N/A,TRUE,"Power-CO-TO";#N/A,#N/A,TRUE,"Power-PM-Baghouse";#N/A,#N/A,TRUE,"Power-PM-ESP";#N/A,#N/A,TRUE,"Power-PM-Venturi";#N/A,#N/A,TRUE,"Power-NOx-OxRed Scrubber";#N/A,#N/A,TRUE,"Power-NOx-SCR";#N/A,#N/A,TRUE,"Power-SO2-Wet Lime Scrubber";#N/A,#N/A,TRUE,"Power-SO2-Spray Drier ESP";#N/A,#N/A,TRUE,"No.1 PM-VOC-Super";#N/A,#N/A,TRUE,"No.1 PM-VOC-Enhanced"}</definedName>
    <definedName name="wrn.Appendix._.A." hidden="1">{#N/A,#N/A,TRUE,"Kiln-NOx-OxRed Scrubber";#N/A,#N/A,TRUE,"Kiln-SO2-Wet Scrubber";#N/A,#N/A,TRUE,"Slaker-PM-Scrubber";#N/A,#N/A,TRUE,"Combo-SO2-Wet Scrubber";#N/A,#N/A,TRUE,"Combo-SO2-DualAlkali";#N/A,#N/A,TRUE,"Combo-SO2-Spray Dryer ESP";#N/A,#N/A,TRUE,"CRU-NOx-OxRed Scrubber";#N/A,#N/A,TRUE,"CRU-SO2-Wet Scrubber";#N/A,#N/A,TRUE,"SDT-PM-Wet ESP";#N/A,#N/A,TRUE,"SDT-VOC-TO";#N/A,#N/A,TRUE,"Package-CO-TO";#N/A,#N/A,TRUE,"Package-PM-Baghouse";#N/A,#N/A,TRUE,"Package-PM-ESP";#N/A,#N/A,TRUE,"Package-PM-Venturi";#N/A,#N/A,TRUE,"Package-NOx-OxRed Scrubber";#N/A,#N/A,TRUE,"Package-NOx-SCR";#N/A,#N/A,TRUE,"Package-SO2-Wet Scrubber";#N/A,#N/A,TRUE,"Package-SO2-Spray Drier ESP";#N/A,#N/A,TRUE,"Power-CO-TO";#N/A,#N/A,TRUE,"Power-PM-Baghouse";#N/A,#N/A,TRUE,"Power-PM-ESP";#N/A,#N/A,TRUE,"Power-PM-Venturi";#N/A,#N/A,TRUE,"Power-NOx-OxRed Scrubber";#N/A,#N/A,TRUE,"Power-NOx-SCR";#N/A,#N/A,TRUE,"Power-SO2-Wet Lime Scrubber";#N/A,#N/A,TRUE,"Power-SO2-Spray Drier ESP";#N/A,#N/A,TRUE,"No.1 PM-VOC-Super";#N/A,#N/A,TRUE,"No.1 PM-VOC-Enhanced"}</definedName>
    <definedName name="wrn.Appendix._.B" localSheetId="1" hidden="1">{#N/A,#N/A,TRUE,"Kiln-NOx-OxRed Scrubber";#N/A,#N/A,TRUE,"Kiln-SO2-Wet Scrubber";#N/A,#N/A,TRUE,"Slaker-PM-Scrubber";#N/A,#N/A,TRUE,"Combo-SO2-Wet Scrubber";#N/A,#N/A,TRUE,"Combo-SO2-DualAlkali";#N/A,#N/A,TRUE,"Combo-SO2-Spray Dryer ESP";#N/A,#N/A,TRUE,"CRU-NOx-OxRed Scrubber";#N/A,#N/A,TRUE,"CRU-SO2-Wet Scrubber";#N/A,#N/A,TRUE,"SDT-PM-Wet ESP";#N/A,#N/A,TRUE,"SDT-VOC-TO";#N/A,#N/A,TRUE,"Package-CO-TO";#N/A,#N/A,TRUE,"Package-PM-Baghouse";#N/A,#N/A,TRUE,"Package-PM-ESP";#N/A,#N/A,TRUE,"Package-PM-Venturi";#N/A,#N/A,TRUE,"Package-NOx-OxRed Scrubber";#N/A,#N/A,TRUE,"Package-NOx-SCR";#N/A,#N/A,TRUE,"Package-SO2-Wet Scrubber";#N/A,#N/A,TRUE,"Package-SO2-Spray Drier ESP";#N/A,#N/A,TRUE,"Power-CO-TO";#N/A,#N/A,TRUE,"Power-PM-Baghouse";#N/A,#N/A,TRUE,"Power-PM-ESP";#N/A,#N/A,TRUE,"Power-PM-Venturi";#N/A,#N/A,TRUE,"Power-NOx-OxRed Scrubber";#N/A,#N/A,TRUE,"Power-NOx-SCR";#N/A,#N/A,TRUE,"Power-SO2-Wet Lime Scrubber";#N/A,#N/A,TRUE,"Power-SO2-Spray Drier ESP";#N/A,#N/A,TRUE,"No.1 PM-VOC-Super";#N/A,#N/A,TRUE,"No.1 PM-VOC-Enhanced"}</definedName>
    <definedName name="wrn.Appendix._.B" localSheetId="2" hidden="1">{#N/A,#N/A,TRUE,"Kiln-NOx-OxRed Scrubber";#N/A,#N/A,TRUE,"Kiln-SO2-Wet Scrubber";#N/A,#N/A,TRUE,"Slaker-PM-Scrubber";#N/A,#N/A,TRUE,"Combo-SO2-Wet Scrubber";#N/A,#N/A,TRUE,"Combo-SO2-DualAlkali";#N/A,#N/A,TRUE,"Combo-SO2-Spray Dryer ESP";#N/A,#N/A,TRUE,"CRU-NOx-OxRed Scrubber";#N/A,#N/A,TRUE,"CRU-SO2-Wet Scrubber";#N/A,#N/A,TRUE,"SDT-PM-Wet ESP";#N/A,#N/A,TRUE,"SDT-VOC-TO";#N/A,#N/A,TRUE,"Package-CO-TO";#N/A,#N/A,TRUE,"Package-PM-Baghouse";#N/A,#N/A,TRUE,"Package-PM-ESP";#N/A,#N/A,TRUE,"Package-PM-Venturi";#N/A,#N/A,TRUE,"Package-NOx-OxRed Scrubber";#N/A,#N/A,TRUE,"Package-NOx-SCR";#N/A,#N/A,TRUE,"Package-SO2-Wet Scrubber";#N/A,#N/A,TRUE,"Package-SO2-Spray Drier ESP";#N/A,#N/A,TRUE,"Power-CO-TO";#N/A,#N/A,TRUE,"Power-PM-Baghouse";#N/A,#N/A,TRUE,"Power-PM-ESP";#N/A,#N/A,TRUE,"Power-PM-Venturi";#N/A,#N/A,TRUE,"Power-NOx-OxRed Scrubber";#N/A,#N/A,TRUE,"Power-NOx-SCR";#N/A,#N/A,TRUE,"Power-SO2-Wet Lime Scrubber";#N/A,#N/A,TRUE,"Power-SO2-Spray Drier ESP";#N/A,#N/A,TRUE,"No.1 PM-VOC-Super";#N/A,#N/A,TRUE,"No.1 PM-VOC-Enhanced"}</definedName>
    <definedName name="wrn.Appendix._.B" hidden="1">{#N/A,#N/A,TRUE,"Kiln-NOx-OxRed Scrubber";#N/A,#N/A,TRUE,"Kiln-SO2-Wet Scrubber";#N/A,#N/A,TRUE,"Slaker-PM-Scrubber";#N/A,#N/A,TRUE,"Combo-SO2-Wet Scrubber";#N/A,#N/A,TRUE,"Combo-SO2-DualAlkali";#N/A,#N/A,TRUE,"Combo-SO2-Spray Dryer ESP";#N/A,#N/A,TRUE,"CRU-NOx-OxRed Scrubber";#N/A,#N/A,TRUE,"CRU-SO2-Wet Scrubber";#N/A,#N/A,TRUE,"SDT-PM-Wet ESP";#N/A,#N/A,TRUE,"SDT-VOC-TO";#N/A,#N/A,TRUE,"Package-CO-TO";#N/A,#N/A,TRUE,"Package-PM-Baghouse";#N/A,#N/A,TRUE,"Package-PM-ESP";#N/A,#N/A,TRUE,"Package-PM-Venturi";#N/A,#N/A,TRUE,"Package-NOx-OxRed Scrubber";#N/A,#N/A,TRUE,"Package-NOx-SCR";#N/A,#N/A,TRUE,"Package-SO2-Wet Scrubber";#N/A,#N/A,TRUE,"Package-SO2-Spray Drier ESP";#N/A,#N/A,TRUE,"Power-CO-TO";#N/A,#N/A,TRUE,"Power-PM-Baghouse";#N/A,#N/A,TRUE,"Power-PM-ESP";#N/A,#N/A,TRUE,"Power-PM-Venturi";#N/A,#N/A,TRUE,"Power-NOx-OxRed Scrubber";#N/A,#N/A,TRUE,"Power-NOx-SCR";#N/A,#N/A,TRUE,"Power-SO2-Wet Lime Scrubber";#N/A,#N/A,TRUE,"Power-SO2-Spray Drier ESP";#N/A,#N/A,TRUE,"No.1 PM-VOC-Super";#N/A,#N/A,TRUE,"No.1 PM-VOC-Enhanced"}</definedName>
    <definedName name="wrn.Appendix._.B." localSheetId="1" hidden="1">{#N/A,#N/A,TRUE,"(B-1) LimeKiln";#N/A,#N/A,TRUE,"(B-2) LimeSlaker";#N/A,#N/A,TRUE,"(B-3) Combo";#N/A,#N/A,TRUE,"(B-4) CRF";#N/A,#N/A,TRUE,"(B-5) SDT";#N/A,#N/A,TRUE,"(B-6) Fuel Oil";#N/A,#N/A,TRUE,"(B-7) NaturalGas"}</definedName>
    <definedName name="wrn.Appendix._.B." localSheetId="2" hidden="1">{#N/A,#N/A,TRUE,"(B-1) LimeKiln";#N/A,#N/A,TRUE,"(B-2) LimeSlaker";#N/A,#N/A,TRUE,"(B-3) Combo";#N/A,#N/A,TRUE,"(B-4) CRF";#N/A,#N/A,TRUE,"(B-5) SDT";#N/A,#N/A,TRUE,"(B-6) Fuel Oil";#N/A,#N/A,TRUE,"(B-7) NaturalGas"}</definedName>
    <definedName name="wrn.Appendix._.B." hidden="1">{#N/A,#N/A,TRUE,"(B-1) LimeKiln";#N/A,#N/A,TRUE,"(B-2) LimeSlaker";#N/A,#N/A,TRUE,"(B-3) Combo";#N/A,#N/A,TRUE,"(B-4) CRF";#N/A,#N/A,TRUE,"(B-5) SDT";#N/A,#N/A,TRUE,"(B-6) Fuel Oil";#N/A,#N/A,TRUE,"(B-7) NaturalGas"}</definedName>
    <definedName name="wrn.Appendix._.S." localSheetId="1" hidden="1">{#N/A,#N/A,TRUE,"Introduction";#N/A,#N/A,TRUE,"Emissions Inventory";#N/A,#N/A,TRUE,"Source Data"}</definedName>
    <definedName name="wrn.Appendix._.S." localSheetId="2" hidden="1">{#N/A,#N/A,TRUE,"Introduction";#N/A,#N/A,TRUE,"Emissions Inventory";#N/A,#N/A,TRUE,"Source Data"}</definedName>
    <definedName name="wrn.Appendix._.S." hidden="1">{#N/A,#N/A,TRUE,"Introduction";#N/A,#N/A,TRUE,"Emissions Inventory";#N/A,#N/A,TRUE,"Source Data"}</definedName>
    <definedName name="wrn.Calcs." localSheetId="1" hidden="1">{#N/A,#N/A,FALSE,"Summary";#N/A,#N/A,FALSE,"Baghouses - Flow";#N/A,#N/A,FALSE,"2-95 Hot Press";#N/A,#N/A,FALSE,"3-95 I-Assembly";#N/A,#N/A,FALSE,"4-95 Hot Oil Heater";#N/A,#N/A,FALSE,"6-95 Diesel Tank";#N/A,#N/A,FALSE,"1-97 LVL Assembly";#N/A,#N/A,FALSE,"4-97 Glue Fugitives";#N/A,#N/A,FALSE,"5-97 LVL Surface Pre-Heaters";#N/A,#N/A,FALSE,"6-97 LVL Conditioning Heaters";#N/A,#N/A,FALSE,"8-97 Fugitive Inks";#N/A,#N/A,FALSE,"Tanks";#N/A,#N/A,FALSE,"I-Assembly Cond. Heaters"}</definedName>
    <definedName name="wrn.Calcs." hidden="1">{#N/A,#N/A,FALSE,"Summary";#N/A,#N/A,FALSE,"Baghouses - Flow";#N/A,#N/A,FALSE,"2-95 Hot Press";#N/A,#N/A,FALSE,"3-95 I-Assembly";#N/A,#N/A,FALSE,"4-95 Hot Oil Heater";#N/A,#N/A,FALSE,"6-95 Diesel Tank";#N/A,#N/A,FALSE,"1-97 LVL Assembly";#N/A,#N/A,FALSE,"4-97 Glue Fugitives";#N/A,#N/A,FALSE,"5-97 LVL Surface Pre-Heaters";#N/A,#N/A,FALSE,"6-97 LVL Conditioning Heaters";#N/A,#N/A,FALSE,"8-97 Fugitive Inks";#N/A,#N/A,FALSE,"Tanks";#N/A,#N/A,FALSE,"I-Assembly Cond. Heaters"}</definedName>
    <definedName name="wrn.COMPLETEPRINT." localSheetId="1" hidden="1">{#N/A,#N/A,FALSE,"Rates";#N/A,#N/A,FALSE,"Summary";#N/A,#N/A,FALSE,"Boilers";#N/A,#N/A,FALSE,"Cyclones";#N/A,#N/A,FALSE,"Saws";#N/A,#N/A,FALSE,"Drops";#N/A,#N/A,FALSE,"Piles";#N/A,#N/A,FALSE,"Roads";#N/A,#N/A,FALSE,"Tanks";#N/A,#N/A,FALSE,"Kilns";#N/A,#N/A,FALSE,"Model"}</definedName>
    <definedName name="wrn.COMPLETEPRINT." localSheetId="2" hidden="1">{#N/A,#N/A,FALSE,"Rates";#N/A,#N/A,FALSE,"Summary";#N/A,#N/A,FALSE,"Boilers";#N/A,#N/A,FALSE,"Cyclones";#N/A,#N/A,FALSE,"Saws";#N/A,#N/A,FALSE,"Drops";#N/A,#N/A,FALSE,"Piles";#N/A,#N/A,FALSE,"Roads";#N/A,#N/A,FALSE,"Tanks";#N/A,#N/A,FALSE,"Kilns";#N/A,#N/A,FALSE,"Model"}</definedName>
    <definedName name="wrn.COMPLETEPRINT." hidden="1">{#N/A,#N/A,FALSE,"Rates";#N/A,#N/A,FALSE,"Summary";#N/A,#N/A,FALSE,"Boilers";#N/A,#N/A,FALSE,"Cyclones";#N/A,#N/A,FALSE,"Saws";#N/A,#N/A,FALSE,"Drops";#N/A,#N/A,FALSE,"Piles";#N/A,#N/A,FALSE,"Roads";#N/A,#N/A,FALSE,"Tanks";#N/A,#N/A,FALSE,"Kilns";#N/A,#N/A,FALSE,"Model"}</definedName>
    <definedName name="wrn.Compositions." hidden="1">{"Compositions",#N/A,FALSE,"TTU Summary"}</definedName>
    <definedName name="wrn.Crosby._.Modeling._.Summary." localSheetId="1" hidden="1">{#N/A,#N/A,FALSE,"Modeled Emissions";#N/A,#N/A,FALSE,"Modeling Results"}</definedName>
    <definedName name="wrn.Crosby._.Modeling._.Summary." hidden="1">{#N/A,#N/A,FALSE,"Modeled Emissions";#N/A,#N/A,FALSE,"Modeling Results"}</definedName>
    <definedName name="wrn.Detailed._.and._.Summary._.Report." localSheetId="1" hidden="1">{"Detailed",#N/A,FALSE,"GAS-COMB";"Summary",#N/A,FALSE,"GAS-COMB"}</definedName>
    <definedName name="wrn.Detailed._.and._.Summary._.Report." localSheetId="2" hidden="1">{"Detailed",#N/A,FALSE,"GAS-COMB";"Summary",#N/A,FALSE,"GAS-COMB"}</definedName>
    <definedName name="wrn.Detailed._.and._.Summary._.Report." hidden="1">{"Detailed",#N/A,FALSE,"GAS-COMB";"Summary",#N/A,FALSE,"GAS-COMB"}</definedName>
    <definedName name="wrn.Detailed._.Report." localSheetId="1" hidden="1">{"Detailed",#N/A,FALSE,"GAS-COMB"}</definedName>
    <definedName name="wrn.Detailed._.Report." localSheetId="2" hidden="1">{"Detailed",#N/A,FALSE,"GAS-COMB"}</definedName>
    <definedName name="wrn.Detailed._.Report." hidden="1">{"Detailed",#N/A,FALSE,"GAS-COMB"}</definedName>
    <definedName name="wrn.EPNs."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wrn.Example._.Calculation._.Sheets." hidden="1">{#N/A,#N/A,TRUE,"Emission Summary";#N/A,#N/A,TRUE,"Engines";#N/A,#N/A,TRUE,"Tank (V-B Flash)";#N/A,#N/A,TRUE,"TANKS 3.0";#N/A,#N/A,TRUE,"Truck Loading";#N/A,#N/A,TRUE,"Fugitives";#N/A,#N/A,TRUE,"Heaters";#N/A,#N/A,TRUE,"Gas Analysis"}</definedName>
    <definedName name="wrn.Flare._.Permit._.Tables." localSheetId="1" hidden="1">{#N/A,#N/A,FALSE,"Annual Summary";#N/A,#N/A,FALSE,"Hourly Summary";#N/A,#N/A,FALSE,"Flare Combustion";#N/A,#N/A,FALSE,"Shipping";#N/A,#N/A,FALSE,"Process Turnaround";#N/A,#N/A,FALSE,"Lab Samples";#N/A,#N/A,FALSE,"Product Cycles 5-4";#N/A,#N/A,FALSE,"5-4.1";#N/A,#N/A,FALSE,"5-4.2";#N/A,#N/A,FALSE,"Physical Prop Data"}</definedName>
    <definedName name="wrn.Flare._.Permit._.Tables." hidden="1">{#N/A,#N/A,FALSE,"Annual Summary";#N/A,#N/A,FALSE,"Hourly Summary";#N/A,#N/A,FALSE,"Flare Combustion";#N/A,#N/A,FALSE,"Shipping";#N/A,#N/A,FALSE,"Process Turnaround";#N/A,#N/A,FALSE,"Lab Samples";#N/A,#N/A,FALSE,"Product Cycles 5-4";#N/A,#N/A,FALSE,"5-4.1";#N/A,#N/A,FALSE,"5-4.2";#N/A,#N/A,FALSE,"Physical Prop Data"}</definedName>
    <definedName name="wrn.G6input." localSheetId="1" hidden="1">{#N/A,#N/A,FALSE,"Emission Calcs";#N/A,#N/A,FALSE,"Equipment Summary";#N/A,#N/A,FALSE,"PRODUCTION SUMMARY "}</definedName>
    <definedName name="wrn.G6input." hidden="1">{#N/A,#N/A,FALSE,"Emission Calcs";#N/A,#N/A,FALSE,"Equipment Summary";#N/A,#N/A,FALSE,"PRODUCTION SUMMARY "}</definedName>
    <definedName name="wrn.G6inputa." localSheetId="1" hidden="1">{#N/A,#N/A,FALSE,"Emission Calcs";#N/A,#N/A,FALSE,"Equipment Summary";#N/A,#N/A,FALSE,"PRODUCTION SUMMARY "}</definedName>
    <definedName name="wrn.G6inputa." hidden="1">{#N/A,#N/A,FALSE,"Emission Calcs";#N/A,#N/A,FALSE,"Equipment Summary";#N/A,#N/A,FALSE,"PRODUCTION SUMMARY "}</definedName>
    <definedName name="wrn.Input._.Section." hidden="1">{"Input Section",#N/A,FALSE,"TTU Summary"}</definedName>
    <definedName name="wrn.Instructions." hidden="1">{"Instructions",#N/A,FALSE,"TTU Summary"}</definedName>
    <definedName name="wrn.Output._.Reports." hidden="1">{"Total TTU Output",#N/A,FALSE,"TTU Summary";"B_68 OPN Output",#N/A,FALSE,"TTU Summary";"B_19 OPN Output",#N/A,FALSE,"TTU Summary"}</definedName>
    <definedName name="wrn.Print._.All." localSheetId="1" hidden="1">{#N/A,#N/A,FALSE,"Table1";#N/A,#N/A,FALSE,"Table2";#N/A,#N/A,FALSE,"Table3";#N/A,#N/A,FALSE,"T4";#N/A,#N/A,FALSE,"T5";#N/A,#N/A,FALSE,"T6";#N/A,#N/A,FALSE,"T7";#N/A,#N/A,FALSE,"T8"}</definedName>
    <definedName name="wrn.Print._.All." hidden="1">{#N/A,#N/A,FALSE,"Table1";#N/A,#N/A,FALSE,"Table2";#N/A,#N/A,FALSE,"Table3";#N/A,#N/A,FALSE,"T4";#N/A,#N/A,FALSE,"T5";#N/A,#N/A,FALSE,"T6";#N/A,#N/A,FALSE,"T7";#N/A,#N/A,FALSE,"T8"}</definedName>
    <definedName name="wrn.Print._.B19._.Detail." hidden="1">{"F210 detailed output",#N/A,FALSE,"F-210 TTU";"F11 detailed output",#N/A,FALSE,"F-11 TTU"}</definedName>
    <definedName name="wrn.Print._.B68._.Details." hidden="1">{"f-603 detailed output",#N/A,FALSE,"FTB-603 TTU";"f-2 detailed output",#N/A,FALSE,"F-2 TTU"}</definedName>
    <definedName name="wrn.report." hidden="1">{#N/A,#N/A,FALSE,"F1-Currrent";#N/A,#N/A,FALSE,"F2-Current";#N/A,#N/A,FALSE,"F2-Proposed";#N/A,#N/A,FALSE,"F3-Current";#N/A,#N/A,FALSE,"F4-Current";#N/A,#N/A,FALSE,"F4-Proposed";#N/A,#N/A,FALSE,"Controls"}</definedName>
    <definedName name="wrn.Reporting._.Responsibilites." hidden="1">{"Reporting Responsibilities",#N/A,FALSE,"TTU Summary"}</definedName>
    <definedName name="wrn.SUMMARY." hidden="1">{#N/A,#N/A,FALSE,"Summary"}</definedName>
    <definedName name="wrn.Summary._.Report." localSheetId="1" hidden="1">{"Summary",#N/A,FALSE,"GAS-COMB"}</definedName>
    <definedName name="wrn.Summary._.Report." localSheetId="2" hidden="1">{"Summary",#N/A,FALSE,"GAS-COMB"}</definedName>
    <definedName name="wrn.Summary._.Report." hidden="1">{"Summary",#N/A,FALSE,"GAS-COMB"}</definedName>
    <definedName name="wrn.TTU._.Detail." hidden="1">{"B68 TTU Detail",#N/A,FALSE,"TTU Summary";"B19 TTU Detail",#N/A,FALSE,"TTU Summary"}</definedName>
    <definedName name="wvu.Summary." hidden="1">{TRUE,TRUE,-1.25,-15.5,484.5,297,FALSE,FALSE,TRUE,TRUE,0,1,#N/A,1,#N/A,8.19318181818182,15,1,FALSE,FALSE,3,TRUE,1,FALSE,100,"Swvu.Summary.","ACwvu.Summary.",#N/A,FALSE,FALSE,0.5,0.5,0.5,0.5,2,"","&amp;L\AA4",TRUE,FALSE,FALSE,FALSE,1,71,#N/A,#N/A,"=R153C1:R187C21",FALSE,#N/A,#N/A,FALSE,FALSE,TRUE,1,65532,65532,FALSE,FALSE,TRUE,TRUE,TRUE}</definedName>
    <definedName name="Y_Values" localSheetId="4">OFFSET([0]!X_Values,0,2)</definedName>
    <definedName name="Y_Values" localSheetId="6">OFFSET([0]!X_Values,0,2)</definedName>
    <definedName name="Y_Values">OFFSET([0]!X_Values,0,2)</definedName>
    <definedName name="Y1_Values" localSheetId="4">OFFSET([0]!X_Values,0,3)</definedName>
    <definedName name="Y1_Values" localSheetId="6">OFFSET([0]!X_Values,0,3)</definedName>
    <definedName name="Y1_Values">OFFSET([0]!X_Values,0,3)</definedName>
    <definedName name="Y2_Values" localSheetId="4">OFFSET([0]!X_Values,0,4)</definedName>
    <definedName name="Y2_Values" localSheetId="6">OFFSET([0]!X_Values,0,4)</definedName>
    <definedName name="Y2_Values">OFFSET([0]!X_Values,0,4)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7" i="129" l="1"/>
  <c r="C15" i="148" a="1"/>
  <c r="C15" i="148" s="1"/>
  <c r="G34" i="129"/>
  <c r="G22" i="129"/>
  <c r="G10" i="129"/>
  <c r="D45" i="129"/>
  <c r="G45" i="129" s="1"/>
  <c r="D10" i="129" l="1"/>
  <c r="D11" i="129"/>
  <c r="G11" i="129" s="1"/>
  <c r="D12" i="129"/>
  <c r="G12" i="129" s="1"/>
  <c r="D13" i="129"/>
  <c r="G13" i="129" s="1"/>
  <c r="D14" i="129"/>
  <c r="G14" i="129" s="1"/>
  <c r="D15" i="129"/>
  <c r="G15" i="129" s="1"/>
  <c r="D16" i="129"/>
  <c r="G16" i="129" s="1"/>
  <c r="D17" i="129"/>
  <c r="G17" i="129" s="1"/>
  <c r="D18" i="129"/>
  <c r="G18" i="129" s="1"/>
  <c r="D19" i="129"/>
  <c r="G19" i="129" s="1"/>
  <c r="D20" i="129"/>
  <c r="G20" i="129" s="1"/>
  <c r="C48" i="119" l="1"/>
  <c r="C47" i="119"/>
  <c r="C46" i="119"/>
  <c r="C45" i="119"/>
  <c r="C44" i="119"/>
  <c r="C43" i="119"/>
  <c r="C42" i="119"/>
  <c r="C41" i="119"/>
  <c r="C40" i="119"/>
  <c r="C39" i="119"/>
  <c r="C38" i="119"/>
  <c r="C49" i="129"/>
  <c r="E48" i="151"/>
  <c r="C25" i="119"/>
  <c r="E25" i="151" l="1"/>
  <c r="C53" i="127"/>
  <c r="C64" i="127" s="1"/>
  <c r="C31" i="127"/>
  <c r="B90" i="127"/>
  <c r="C91" i="139"/>
  <c r="C91" i="140"/>
  <c r="C91" i="141"/>
  <c r="C95" i="139"/>
  <c r="C94" i="139"/>
  <c r="C95" i="140"/>
  <c r="C94" i="140"/>
  <c r="C95" i="141"/>
  <c r="C94" i="141"/>
  <c r="B94" i="127"/>
  <c r="B93" i="127" s="1"/>
  <c r="E28" i="151"/>
  <c r="E27" i="151"/>
  <c r="E26" i="151"/>
  <c r="P17" i="148"/>
  <c r="P16" i="148"/>
  <c r="P14" i="148"/>
  <c r="P13" i="148"/>
  <c r="P12" i="148"/>
  <c r="O8" i="148"/>
  <c r="O23" i="148" s="1"/>
  <c r="N17" i="148"/>
  <c r="N16" i="148"/>
  <c r="N14" i="148"/>
  <c r="N13" i="148"/>
  <c r="N12" i="148"/>
  <c r="M8" i="148"/>
  <c r="M23" i="148" s="1"/>
  <c r="L17" i="148"/>
  <c r="L16" i="148"/>
  <c r="L14" i="148"/>
  <c r="L13" i="148"/>
  <c r="L12" i="148"/>
  <c r="K8" i="148"/>
  <c r="K23" i="148" s="1"/>
  <c r="C30" i="119"/>
  <c r="O11" i="18" s="1"/>
  <c r="O22" i="18" s="1"/>
  <c r="C29" i="119"/>
  <c r="M11" i="18" s="1"/>
  <c r="M22" i="18" s="1"/>
  <c r="C28" i="119"/>
  <c r="K11" i="18" s="1"/>
  <c r="K22" i="18" s="1"/>
  <c r="B89" i="127" l="1"/>
  <c r="O22" i="148"/>
  <c r="K22" i="148"/>
  <c r="M22" i="148"/>
  <c r="D33" i="103" l="1"/>
  <c r="D35" i="103"/>
  <c r="C16" i="119" s="1"/>
  <c r="C15" i="119" s="1"/>
  <c r="C11" i="119" s="1"/>
  <c r="S8" i="148"/>
  <c r="Q8" i="148"/>
  <c r="Q22" i="148" s="1"/>
  <c r="I8" i="148"/>
  <c r="I22" i="148" s="1"/>
  <c r="G8" i="148"/>
  <c r="G22" i="148" s="1"/>
  <c r="E8" i="148"/>
  <c r="E23" i="148" s="1"/>
  <c r="C8" i="148"/>
  <c r="C22" i="148" s="1"/>
  <c r="D36" i="103" l="1"/>
  <c r="C12" i="151" s="1"/>
  <c r="C11" i="151" s="1"/>
  <c r="C27" i="151" s="1"/>
  <c r="M12" i="18" s="1"/>
  <c r="C23" i="148"/>
  <c r="Q23" i="148"/>
  <c r="G23" i="148"/>
  <c r="I23" i="148"/>
  <c r="E22" i="148"/>
  <c r="C28" i="151" l="1"/>
  <c r="O12" i="18" s="1"/>
  <c r="C26" i="151"/>
  <c r="K12" i="18" s="1"/>
  <c r="C12" i="150"/>
  <c r="C13" i="151"/>
  <c r="C11" i="150" s="1"/>
  <c r="T14" i="148" l="1"/>
  <c r="J14" i="148"/>
  <c r="E24" i="151"/>
  <c r="E23" i="151"/>
  <c r="E22" i="151"/>
  <c r="E39" i="150"/>
  <c r="E38" i="150"/>
  <c r="E37" i="150"/>
  <c r="E36" i="150"/>
  <c r="E35" i="150"/>
  <c r="E34" i="150"/>
  <c r="E33" i="150"/>
  <c r="E32" i="150"/>
  <c r="E31" i="150"/>
  <c r="E30" i="150"/>
  <c r="E29" i="150"/>
  <c r="E23" i="150"/>
  <c r="E22" i="150"/>
  <c r="E21" i="150"/>
  <c r="C51" i="119" l="1"/>
  <c r="D44" i="129"/>
  <c r="G44" i="129" s="1"/>
  <c r="H44" i="129" s="1"/>
  <c r="D43" i="129"/>
  <c r="G43" i="129" s="1"/>
  <c r="D42" i="129"/>
  <c r="G42" i="129" s="1"/>
  <c r="D41" i="129"/>
  <c r="G41" i="129" s="1"/>
  <c r="D40" i="129"/>
  <c r="G40" i="129" s="1"/>
  <c r="D39" i="129"/>
  <c r="G39" i="129" s="1"/>
  <c r="D38" i="129"/>
  <c r="G38" i="129" s="1"/>
  <c r="D37" i="129"/>
  <c r="G37" i="129" s="1"/>
  <c r="D36" i="129"/>
  <c r="G36" i="129" s="1"/>
  <c r="D35" i="129"/>
  <c r="G35" i="129" s="1"/>
  <c r="D34" i="129"/>
  <c r="D33" i="129"/>
  <c r="G33" i="129" s="1"/>
  <c r="D32" i="129"/>
  <c r="G32" i="129" s="1"/>
  <c r="D31" i="129"/>
  <c r="G31" i="129" s="1"/>
  <c r="D30" i="129"/>
  <c r="G30" i="129" s="1"/>
  <c r="D29" i="129"/>
  <c r="G29" i="129" s="1"/>
  <c r="D28" i="129"/>
  <c r="G28" i="129" s="1"/>
  <c r="D27" i="129"/>
  <c r="G27" i="129" s="1"/>
  <c r="D26" i="129"/>
  <c r="G26" i="129" s="1"/>
  <c r="D25" i="129"/>
  <c r="G25" i="129" s="1"/>
  <c r="D24" i="129"/>
  <c r="G24" i="129" s="1"/>
  <c r="D23" i="129"/>
  <c r="G23" i="129" s="1"/>
  <c r="D22" i="129"/>
  <c r="D21" i="129"/>
  <c r="G21" i="129" s="1"/>
  <c r="C13" i="119" l="1"/>
  <c r="E35" i="151"/>
  <c r="D28" i="119" l="1"/>
  <c r="L11" i="18" s="1"/>
  <c r="L22" i="18" s="1"/>
  <c r="D30" i="119"/>
  <c r="P11" i="18" s="1"/>
  <c r="P22" i="18" s="1"/>
  <c r="D29" i="119"/>
  <c r="N11" i="18" s="1"/>
  <c r="N22" i="18" s="1"/>
  <c r="D21" i="150"/>
  <c r="D38" i="150" l="1"/>
  <c r="D34" i="150"/>
  <c r="D30" i="150"/>
  <c r="D35" i="150"/>
  <c r="V15" i="18" s="1"/>
  <c r="R14" i="148" s="1"/>
  <c r="D37" i="150"/>
  <c r="D33" i="150"/>
  <c r="D29" i="150"/>
  <c r="D36" i="150"/>
  <c r="D32" i="150"/>
  <c r="D39" i="150"/>
  <c r="D31" i="150"/>
  <c r="N11" i="148"/>
  <c r="P11" i="148"/>
  <c r="L11" i="148"/>
  <c r="D15" i="18"/>
  <c r="D14" i="148" s="1"/>
  <c r="C48" i="151"/>
  <c r="S12" i="18" s="1"/>
  <c r="E45" i="151"/>
  <c r="E44" i="151"/>
  <c r="E43" i="151"/>
  <c r="E42" i="151"/>
  <c r="E41" i="151"/>
  <c r="C56" i="129" s="1"/>
  <c r="E40" i="151"/>
  <c r="E39" i="151"/>
  <c r="E38" i="151"/>
  <c r="E37" i="151"/>
  <c r="E36" i="151"/>
  <c r="C25" i="151"/>
  <c r="I12" i="18" s="1"/>
  <c r="C24" i="151"/>
  <c r="G12" i="18" s="1"/>
  <c r="C23" i="151"/>
  <c r="E12" i="18" s="1"/>
  <c r="C22" i="151"/>
  <c r="D23" i="151"/>
  <c r="C5" i="151"/>
  <c r="C4" i="151"/>
  <c r="C3" i="151"/>
  <c r="C5" i="150"/>
  <c r="C4" i="150"/>
  <c r="C3" i="150"/>
  <c r="C12" i="18" l="1"/>
  <c r="C43" i="151"/>
  <c r="C35" i="151"/>
  <c r="C41" i="151"/>
  <c r="U12" i="18" s="1"/>
  <c r="C40" i="151"/>
  <c r="C42" i="151"/>
  <c r="C39" i="151"/>
  <c r="C45" i="151"/>
  <c r="C44" i="151"/>
  <c r="C38" i="151"/>
  <c r="C37" i="151"/>
  <c r="C36" i="151"/>
  <c r="L21" i="148"/>
  <c r="P21" i="148"/>
  <c r="D25" i="151"/>
  <c r="J12" i="18" s="1"/>
  <c r="D28" i="151"/>
  <c r="P12" i="18" s="1"/>
  <c r="P19" i="18" s="1"/>
  <c r="D19" i="103" s="1"/>
  <c r="D27" i="151"/>
  <c r="N12" i="18" s="1"/>
  <c r="N19" i="18" s="1"/>
  <c r="D18" i="103" s="1"/>
  <c r="D26" i="151"/>
  <c r="L12" i="18" s="1"/>
  <c r="L19" i="18" s="1"/>
  <c r="D17" i="103" s="1"/>
  <c r="N21" i="148"/>
  <c r="D26" i="150"/>
  <c r="R15" i="18" s="1"/>
  <c r="C21" i="150"/>
  <c r="D48" i="151"/>
  <c r="T12" i="18" s="1"/>
  <c r="T15" i="148" s="1"/>
  <c r="D22" i="151"/>
  <c r="F12" i="18"/>
  <c r="F15" i="148" s="1"/>
  <c r="D24" i="151"/>
  <c r="H12" i="18" s="1"/>
  <c r="H15" i="148" s="1"/>
  <c r="D23" i="150"/>
  <c r="H15" i="18" s="1"/>
  <c r="H14" i="148" s="1"/>
  <c r="C23" i="150"/>
  <c r="G15" i="18" s="1"/>
  <c r="C22" i="150"/>
  <c r="D22" i="150"/>
  <c r="S11" i="18"/>
  <c r="S22" i="18" s="1"/>
  <c r="C31" i="119"/>
  <c r="C27" i="119"/>
  <c r="C26" i="119"/>
  <c r="D40" i="151" l="1"/>
  <c r="D39" i="151"/>
  <c r="D38" i="151"/>
  <c r="D42" i="151"/>
  <c r="D45" i="151"/>
  <c r="D37" i="151"/>
  <c r="D44" i="151"/>
  <c r="D36" i="151"/>
  <c r="D43" i="151"/>
  <c r="D35" i="151"/>
  <c r="D41" i="151"/>
  <c r="V12" i="18" s="1"/>
  <c r="R15" i="148" s="1"/>
  <c r="C39" i="150"/>
  <c r="C35" i="150"/>
  <c r="U15" i="18" s="1"/>
  <c r="C31" i="150"/>
  <c r="C38" i="150"/>
  <c r="C34" i="150"/>
  <c r="C30" i="150"/>
  <c r="C37" i="150"/>
  <c r="C33" i="150"/>
  <c r="C29" i="150"/>
  <c r="C32" i="150"/>
  <c r="C36" i="150"/>
  <c r="J15" i="148"/>
  <c r="N15" i="148"/>
  <c r="N20" i="148" s="1"/>
  <c r="P15" i="148"/>
  <c r="P20" i="148" s="1"/>
  <c r="L15" i="148"/>
  <c r="L20" i="148" s="1"/>
  <c r="C15" i="18"/>
  <c r="F15" i="18"/>
  <c r="F14" i="148" s="1"/>
  <c r="E15" i="18"/>
  <c r="D12" i="18"/>
  <c r="D15" i="148" s="1"/>
  <c r="C32" i="151"/>
  <c r="Q12" i="18" s="1"/>
  <c r="T17" i="148"/>
  <c r="T16" i="148"/>
  <c r="T13" i="148"/>
  <c r="T12" i="148"/>
  <c r="R17" i="148"/>
  <c r="R16" i="148"/>
  <c r="R13" i="148"/>
  <c r="J17" i="148"/>
  <c r="J16" i="148"/>
  <c r="J13" i="148"/>
  <c r="J12" i="148"/>
  <c r="C4" i="148"/>
  <c r="C3" i="148"/>
  <c r="C2" i="148"/>
  <c r="S23" i="148" l="1"/>
  <c r="S22" i="148"/>
  <c r="C26" i="150"/>
  <c r="Q15" i="18" s="1"/>
  <c r="D32" i="151"/>
  <c r="R12" i="18" s="1"/>
  <c r="W11" i="144" l="1"/>
  <c r="W12" i="144"/>
  <c r="W13" i="144"/>
  <c r="W14" i="144"/>
  <c r="W15" i="144"/>
  <c r="W16" i="144"/>
  <c r="W17" i="144"/>
  <c r="W18" i="144"/>
  <c r="W19" i="144"/>
  <c r="W20" i="144"/>
  <c r="W21" i="144"/>
  <c r="W22" i="144"/>
  <c r="W23" i="144"/>
  <c r="W24" i="144"/>
  <c r="W25" i="144"/>
  <c r="W26" i="144"/>
  <c r="W27" i="144"/>
  <c r="W28" i="144"/>
  <c r="W29" i="144"/>
  <c r="W30" i="144"/>
  <c r="W31" i="144"/>
  <c r="W32" i="144"/>
  <c r="W33" i="144"/>
  <c r="W34" i="144"/>
  <c r="F34" i="144"/>
  <c r="E34" i="144"/>
  <c r="D34" i="144"/>
  <c r="F33" i="144"/>
  <c r="E33" i="144"/>
  <c r="D33" i="144"/>
  <c r="F32" i="144"/>
  <c r="E32" i="144"/>
  <c r="D32" i="144"/>
  <c r="F31" i="144"/>
  <c r="E31" i="144"/>
  <c r="D31" i="144"/>
  <c r="F30" i="144"/>
  <c r="E30" i="144"/>
  <c r="D30" i="144"/>
  <c r="F29" i="144"/>
  <c r="E29" i="144"/>
  <c r="D29" i="144"/>
  <c r="F28" i="144"/>
  <c r="E28" i="144"/>
  <c r="D28" i="144"/>
  <c r="F27" i="144"/>
  <c r="E27" i="144"/>
  <c r="D27" i="144"/>
  <c r="F26" i="144"/>
  <c r="E26" i="144"/>
  <c r="D26" i="144"/>
  <c r="F25" i="144"/>
  <c r="E25" i="144"/>
  <c r="D25" i="144"/>
  <c r="F24" i="144"/>
  <c r="E24" i="144"/>
  <c r="D24" i="144"/>
  <c r="F23" i="144"/>
  <c r="E23" i="144"/>
  <c r="D23" i="144"/>
  <c r="F22" i="144"/>
  <c r="E22" i="144"/>
  <c r="D22" i="144"/>
  <c r="F21" i="144"/>
  <c r="E21" i="144"/>
  <c r="D21" i="144"/>
  <c r="F20" i="144"/>
  <c r="E20" i="144"/>
  <c r="D20" i="144"/>
  <c r="F19" i="144"/>
  <c r="E19" i="144"/>
  <c r="D19" i="144"/>
  <c r="F18" i="144"/>
  <c r="E18" i="144"/>
  <c r="D18" i="144"/>
  <c r="F17" i="144"/>
  <c r="E17" i="144"/>
  <c r="D17" i="144"/>
  <c r="F16" i="144"/>
  <c r="E16" i="144"/>
  <c r="D16" i="144"/>
  <c r="F15" i="144"/>
  <c r="E15" i="144"/>
  <c r="D15" i="144"/>
  <c r="F14" i="144"/>
  <c r="E14" i="144"/>
  <c r="D14" i="144"/>
  <c r="F13" i="144"/>
  <c r="E13" i="144"/>
  <c r="D13" i="144"/>
  <c r="F12" i="144"/>
  <c r="E12" i="144"/>
  <c r="D12" i="144"/>
  <c r="F11" i="144"/>
  <c r="E11" i="144"/>
  <c r="D11" i="144"/>
  <c r="C5" i="144"/>
  <c r="C4" i="144"/>
  <c r="C3" i="144"/>
  <c r="C90" i="141"/>
  <c r="F68" i="141"/>
  <c r="F67" i="141"/>
  <c r="F66" i="141"/>
  <c r="F65" i="141"/>
  <c r="L57" i="141"/>
  <c r="L68" i="141" s="1"/>
  <c r="G57" i="141"/>
  <c r="G68" i="141" s="1"/>
  <c r="E57" i="141"/>
  <c r="E68" i="141" s="1"/>
  <c r="D57" i="141"/>
  <c r="D68" i="141" s="1"/>
  <c r="L56" i="141"/>
  <c r="L67" i="141" s="1"/>
  <c r="G56" i="141"/>
  <c r="G67" i="141" s="1"/>
  <c r="D56" i="141"/>
  <c r="D67" i="141" s="1"/>
  <c r="L55" i="141"/>
  <c r="L66" i="141" s="1"/>
  <c r="G55" i="141"/>
  <c r="G66" i="141" s="1"/>
  <c r="D55" i="141"/>
  <c r="L54" i="141"/>
  <c r="L65" i="141" s="1"/>
  <c r="G54" i="141"/>
  <c r="G65" i="141" s="1"/>
  <c r="D54" i="141"/>
  <c r="E46" i="141"/>
  <c r="H46" i="141" s="1"/>
  <c r="E45" i="141"/>
  <c r="E56" i="141" s="1"/>
  <c r="E67" i="141" s="1"/>
  <c r="E44" i="141"/>
  <c r="E55" i="141" s="1"/>
  <c r="E66" i="141" s="1"/>
  <c r="E43" i="141"/>
  <c r="H43" i="141" s="1"/>
  <c r="D32" i="141"/>
  <c r="E23" i="141"/>
  <c r="E32" i="141" s="1"/>
  <c r="D23" i="141"/>
  <c r="D22" i="141"/>
  <c r="D31" i="141" s="1"/>
  <c r="E14" i="141"/>
  <c r="F14" i="141" s="1"/>
  <c r="E13" i="141"/>
  <c r="C4" i="141"/>
  <c r="C3" i="141"/>
  <c r="C2" i="141"/>
  <c r="C90" i="140"/>
  <c r="F68" i="140"/>
  <c r="F67" i="140"/>
  <c r="F66" i="140"/>
  <c r="F65" i="140"/>
  <c r="L57" i="140"/>
  <c r="L68" i="140" s="1"/>
  <c r="G57" i="140"/>
  <c r="G68" i="140" s="1"/>
  <c r="D57" i="140"/>
  <c r="D68" i="140" s="1"/>
  <c r="L56" i="140"/>
  <c r="L67" i="140" s="1"/>
  <c r="G56" i="140"/>
  <c r="G67" i="140" s="1"/>
  <c r="D56" i="140"/>
  <c r="D67" i="140" s="1"/>
  <c r="L55" i="140"/>
  <c r="L66" i="140" s="1"/>
  <c r="G55" i="140"/>
  <c r="G66" i="140" s="1"/>
  <c r="D55" i="140"/>
  <c r="L54" i="140"/>
  <c r="L65" i="140" s="1"/>
  <c r="G54" i="140"/>
  <c r="G65" i="140" s="1"/>
  <c r="D54" i="140"/>
  <c r="E46" i="140"/>
  <c r="E57" i="140" s="1"/>
  <c r="E68" i="140" s="1"/>
  <c r="E45" i="140"/>
  <c r="E56" i="140" s="1"/>
  <c r="E67" i="140" s="1"/>
  <c r="E44" i="140"/>
  <c r="H44" i="140" s="1"/>
  <c r="E43" i="140"/>
  <c r="H43" i="140" s="1"/>
  <c r="D23" i="140"/>
  <c r="D32" i="140" s="1"/>
  <c r="D22" i="140"/>
  <c r="D31" i="140" s="1"/>
  <c r="E14" i="140"/>
  <c r="E23" i="140" s="1"/>
  <c r="E32" i="140" s="1"/>
  <c r="E13" i="140"/>
  <c r="C4" i="140"/>
  <c r="C3" i="140"/>
  <c r="C2" i="140"/>
  <c r="C90" i="139"/>
  <c r="F68" i="139"/>
  <c r="F67" i="139"/>
  <c r="F66" i="139"/>
  <c r="F65" i="139"/>
  <c r="L57" i="139"/>
  <c r="L68" i="139" s="1"/>
  <c r="G57" i="139"/>
  <c r="G68" i="139" s="1"/>
  <c r="D57" i="139"/>
  <c r="D68" i="139" s="1"/>
  <c r="L56" i="139"/>
  <c r="L67" i="139" s="1"/>
  <c r="G56" i="139"/>
  <c r="G67" i="139" s="1"/>
  <c r="D56" i="139"/>
  <c r="D67" i="139" s="1"/>
  <c r="L55" i="139"/>
  <c r="L66" i="139" s="1"/>
  <c r="G55" i="139"/>
  <c r="G66" i="139" s="1"/>
  <c r="D55" i="139"/>
  <c r="L54" i="139"/>
  <c r="L65" i="139" s="1"/>
  <c r="G54" i="139"/>
  <c r="G65" i="139" s="1"/>
  <c r="D54" i="139"/>
  <c r="D65" i="139" s="1"/>
  <c r="E46" i="139"/>
  <c r="H46" i="139" s="1"/>
  <c r="E45" i="139"/>
  <c r="H45" i="139" s="1"/>
  <c r="E44" i="139"/>
  <c r="H44" i="139" s="1"/>
  <c r="E43" i="139"/>
  <c r="H43" i="139" s="1"/>
  <c r="D23" i="139"/>
  <c r="D32" i="139" s="1"/>
  <c r="D22" i="139"/>
  <c r="D31" i="139" s="1"/>
  <c r="E14" i="139"/>
  <c r="F14" i="139" s="1"/>
  <c r="E13" i="139"/>
  <c r="F13" i="139" s="1"/>
  <c r="C4" i="139"/>
  <c r="C3" i="139"/>
  <c r="C2" i="139"/>
  <c r="E54" i="139" l="1"/>
  <c r="E65" i="139" s="1"/>
  <c r="E23" i="139"/>
  <c r="E32" i="139" s="1"/>
  <c r="H46" i="140"/>
  <c r="E57" i="139"/>
  <c r="E68" i="139" s="1"/>
  <c r="H68" i="139" s="1"/>
  <c r="F14" i="140"/>
  <c r="H55" i="141"/>
  <c r="H67" i="140"/>
  <c r="C92" i="141"/>
  <c r="C93" i="141" s="1"/>
  <c r="H44" i="141"/>
  <c r="H68" i="140"/>
  <c r="C92" i="140"/>
  <c r="F32" i="141"/>
  <c r="H68" i="141"/>
  <c r="H67" i="141"/>
  <c r="H56" i="141"/>
  <c r="I56" i="141"/>
  <c r="I67" i="141" s="1"/>
  <c r="I57" i="141"/>
  <c r="I68" i="141" s="1"/>
  <c r="D65" i="141"/>
  <c r="F13" i="141"/>
  <c r="E22" i="141"/>
  <c r="E31" i="141" s="1"/>
  <c r="F31" i="141" s="1"/>
  <c r="F23" i="141"/>
  <c r="H45" i="141"/>
  <c r="E54" i="141"/>
  <c r="E65" i="141" s="1"/>
  <c r="D66" i="141"/>
  <c r="H66" i="141" s="1"/>
  <c r="H57" i="141"/>
  <c r="F32" i="140"/>
  <c r="H56" i="140"/>
  <c r="C93" i="140"/>
  <c r="D65" i="140"/>
  <c r="F23" i="140"/>
  <c r="E55" i="140"/>
  <c r="E66" i="140" s="1"/>
  <c r="D66" i="140"/>
  <c r="F13" i="140"/>
  <c r="E22" i="140"/>
  <c r="E31" i="140" s="1"/>
  <c r="F31" i="140" s="1"/>
  <c r="H45" i="140"/>
  <c r="E54" i="140"/>
  <c r="E65" i="140" s="1"/>
  <c r="H57" i="140"/>
  <c r="H65" i="139"/>
  <c r="F32" i="139"/>
  <c r="C93" i="139"/>
  <c r="F23" i="139"/>
  <c r="F22" i="139"/>
  <c r="E55" i="139"/>
  <c r="E66" i="139" s="1"/>
  <c r="D66" i="139"/>
  <c r="H54" i="139"/>
  <c r="E56" i="139"/>
  <c r="C92" i="139"/>
  <c r="E22" i="139"/>
  <c r="E31" i="139" s="1"/>
  <c r="F31" i="139" s="1"/>
  <c r="C97" i="139" l="1"/>
  <c r="C96" i="139"/>
  <c r="C96" i="141"/>
  <c r="C97" i="141"/>
  <c r="C96" i="140"/>
  <c r="C97" i="140"/>
  <c r="J68" i="141"/>
  <c r="K68" i="141" s="1"/>
  <c r="M68" i="141" s="1"/>
  <c r="H57" i="139"/>
  <c r="F22" i="140"/>
  <c r="F22" i="141"/>
  <c r="H66" i="139"/>
  <c r="H65" i="140"/>
  <c r="H55" i="140"/>
  <c r="H55" i="139"/>
  <c r="H66" i="140"/>
  <c r="J57" i="141"/>
  <c r="K57" i="141" s="1"/>
  <c r="M57" i="141" s="1"/>
  <c r="J45" i="141"/>
  <c r="K45" i="141" s="1"/>
  <c r="M45" i="141" s="1"/>
  <c r="J56" i="141"/>
  <c r="K56" i="141" s="1"/>
  <c r="M56" i="141" s="1"/>
  <c r="H65" i="141"/>
  <c r="J67" i="141"/>
  <c r="K67" i="141" s="1"/>
  <c r="M67" i="141" s="1"/>
  <c r="H54" i="141"/>
  <c r="J46" i="141"/>
  <c r="K46" i="141" s="1"/>
  <c r="M46" i="141" s="1"/>
  <c r="I56" i="140"/>
  <c r="I67" i="140" s="1"/>
  <c r="J67" i="140" s="1"/>
  <c r="K67" i="140" s="1"/>
  <c r="M67" i="140" s="1"/>
  <c r="H54" i="140"/>
  <c r="E67" i="139"/>
  <c r="H67" i="139" s="1"/>
  <c r="H56" i="139"/>
  <c r="I43" i="141" l="1"/>
  <c r="I44" i="141"/>
  <c r="G14" i="141"/>
  <c r="G13" i="141"/>
  <c r="I44" i="140"/>
  <c r="I43" i="140"/>
  <c r="J43" i="140" s="1"/>
  <c r="G13" i="139"/>
  <c r="H13" i="139" s="1"/>
  <c r="G14" i="139"/>
  <c r="H14" i="139" s="1"/>
  <c r="I14" i="139" s="1"/>
  <c r="K14" i="139" s="1"/>
  <c r="G14" i="140"/>
  <c r="G13" i="140"/>
  <c r="H13" i="140" s="1"/>
  <c r="I13" i="140" s="1"/>
  <c r="I43" i="139"/>
  <c r="J43" i="139" s="1"/>
  <c r="I44" i="139"/>
  <c r="I55" i="139" s="1"/>
  <c r="J45" i="140"/>
  <c r="K45" i="140" s="1"/>
  <c r="M45" i="140" s="1"/>
  <c r="J56" i="140"/>
  <c r="K56" i="140" s="1"/>
  <c r="M56" i="140" s="1"/>
  <c r="I57" i="140"/>
  <c r="J46" i="140"/>
  <c r="K46" i="140" s="1"/>
  <c r="M46" i="140" s="1"/>
  <c r="I56" i="139"/>
  <c r="I67" i="139" s="1"/>
  <c r="J67" i="139" s="1"/>
  <c r="K67" i="139" s="1"/>
  <c r="M67" i="139" s="1"/>
  <c r="J45" i="139"/>
  <c r="K45" i="139" s="1"/>
  <c r="M45" i="139" s="1"/>
  <c r="I57" i="139"/>
  <c r="J46" i="139"/>
  <c r="K46" i="139" s="1"/>
  <c r="M46" i="139" s="1"/>
  <c r="I54" i="140" l="1"/>
  <c r="I65" i="140" s="1"/>
  <c r="G22" i="140"/>
  <c r="H22" i="140" s="1"/>
  <c r="G15" i="140"/>
  <c r="I47" i="140"/>
  <c r="I55" i="140"/>
  <c r="I66" i="140" s="1"/>
  <c r="J66" i="140" s="1"/>
  <c r="K66" i="140" s="1"/>
  <c r="M66" i="140" s="1"/>
  <c r="H14" i="140"/>
  <c r="I14" i="140" s="1"/>
  <c r="K14" i="140" s="1"/>
  <c r="J44" i="140"/>
  <c r="K44" i="140" s="1"/>
  <c r="M44" i="140" s="1"/>
  <c r="G23" i="140"/>
  <c r="H23" i="140" s="1"/>
  <c r="I23" i="140" s="1"/>
  <c r="K23" i="140" s="1"/>
  <c r="G15" i="139"/>
  <c r="G23" i="139"/>
  <c r="G32" i="139" s="1"/>
  <c r="H32" i="139" s="1"/>
  <c r="I32" i="139" s="1"/>
  <c r="K32" i="139" s="1"/>
  <c r="G22" i="139"/>
  <c r="I47" i="139"/>
  <c r="I54" i="139"/>
  <c r="I65" i="139" s="1"/>
  <c r="J44" i="141"/>
  <c r="K44" i="141" s="1"/>
  <c r="M44" i="141" s="1"/>
  <c r="I55" i="141"/>
  <c r="H13" i="141"/>
  <c r="G15" i="141"/>
  <c r="G22" i="141"/>
  <c r="G23" i="141"/>
  <c r="H14" i="141"/>
  <c r="I14" i="141" s="1"/>
  <c r="K14" i="141" s="1"/>
  <c r="J44" i="139"/>
  <c r="K44" i="139" s="1"/>
  <c r="M44" i="139" s="1"/>
  <c r="J43" i="141"/>
  <c r="I47" i="141"/>
  <c r="I54" i="141"/>
  <c r="J56" i="139"/>
  <c r="K56" i="139" s="1"/>
  <c r="M56" i="139" s="1"/>
  <c r="K43" i="140"/>
  <c r="I68" i="140"/>
  <c r="J68" i="140" s="1"/>
  <c r="K68" i="140" s="1"/>
  <c r="M68" i="140" s="1"/>
  <c r="J57" i="140"/>
  <c r="K57" i="140" s="1"/>
  <c r="M57" i="140" s="1"/>
  <c r="K13" i="140"/>
  <c r="K43" i="139"/>
  <c r="I66" i="139"/>
  <c r="J66" i="139" s="1"/>
  <c r="K66" i="139" s="1"/>
  <c r="M66" i="139" s="1"/>
  <c r="J55" i="139"/>
  <c r="K55" i="139" s="1"/>
  <c r="M55" i="139" s="1"/>
  <c r="I68" i="139"/>
  <c r="J68" i="139" s="1"/>
  <c r="K68" i="139" s="1"/>
  <c r="M68" i="139" s="1"/>
  <c r="J57" i="139"/>
  <c r="K57" i="139" s="1"/>
  <c r="M57" i="139" s="1"/>
  <c r="H15" i="139"/>
  <c r="I13" i="139"/>
  <c r="J54" i="140" l="1"/>
  <c r="G31" i="140"/>
  <c r="H31" i="140" s="1"/>
  <c r="I58" i="139"/>
  <c r="I15" i="140"/>
  <c r="G24" i="139"/>
  <c r="J47" i="139"/>
  <c r="G31" i="139"/>
  <c r="G33" i="139" s="1"/>
  <c r="H15" i="140"/>
  <c r="I58" i="140"/>
  <c r="H22" i="139"/>
  <c r="I22" i="139" s="1"/>
  <c r="J47" i="140"/>
  <c r="H23" i="139"/>
  <c r="I23" i="139" s="1"/>
  <c r="K23" i="139" s="1"/>
  <c r="J55" i="140"/>
  <c r="K55" i="140" s="1"/>
  <c r="M55" i="140" s="1"/>
  <c r="K15" i="140"/>
  <c r="G32" i="140"/>
  <c r="H32" i="140" s="1"/>
  <c r="I32" i="140" s="1"/>
  <c r="K32" i="140" s="1"/>
  <c r="G24" i="140"/>
  <c r="J54" i="139"/>
  <c r="J58" i="139" s="1"/>
  <c r="G32" i="141"/>
  <c r="H32" i="141" s="1"/>
  <c r="I32" i="141" s="1"/>
  <c r="K32" i="141" s="1"/>
  <c r="H23" i="141"/>
  <c r="I23" i="141" s="1"/>
  <c r="K23" i="141" s="1"/>
  <c r="H15" i="141"/>
  <c r="I13" i="141"/>
  <c r="J54" i="141"/>
  <c r="I58" i="141"/>
  <c r="I65" i="141"/>
  <c r="I66" i="141"/>
  <c r="J66" i="141" s="1"/>
  <c r="K66" i="141" s="1"/>
  <c r="M66" i="141" s="1"/>
  <c r="J55" i="141"/>
  <c r="K55" i="141" s="1"/>
  <c r="M55" i="141" s="1"/>
  <c r="H22" i="141"/>
  <c r="G24" i="141"/>
  <c r="G31" i="141"/>
  <c r="K43" i="141"/>
  <c r="J47" i="141"/>
  <c r="K47" i="140"/>
  <c r="M43" i="140"/>
  <c r="M47" i="140" s="1"/>
  <c r="H24" i="140"/>
  <c r="I22" i="140"/>
  <c r="K54" i="140"/>
  <c r="I69" i="140"/>
  <c r="J65" i="140"/>
  <c r="I15" i="139"/>
  <c r="K13" i="139"/>
  <c r="K15" i="139" s="1"/>
  <c r="I69" i="139"/>
  <c r="J65" i="139"/>
  <c r="K47" i="139"/>
  <c r="M43" i="139"/>
  <c r="M47" i="139" s="1"/>
  <c r="K54" i="139" l="1"/>
  <c r="M54" i="139" s="1"/>
  <c r="M58" i="139" s="1"/>
  <c r="J58" i="140"/>
  <c r="H31" i="139"/>
  <c r="H33" i="139" s="1"/>
  <c r="G33" i="140"/>
  <c r="H24" i="139"/>
  <c r="I22" i="141"/>
  <c r="H24" i="141"/>
  <c r="I69" i="141"/>
  <c r="J65" i="141"/>
  <c r="I15" i="141"/>
  <c r="K13" i="141"/>
  <c r="K15" i="141" s="1"/>
  <c r="M43" i="141"/>
  <c r="M47" i="141" s="1"/>
  <c r="K47" i="141"/>
  <c r="K54" i="141"/>
  <c r="J58" i="141"/>
  <c r="H31" i="141"/>
  <c r="G33" i="141"/>
  <c r="K22" i="140"/>
  <c r="K24" i="140" s="1"/>
  <c r="I24" i="140"/>
  <c r="K58" i="140"/>
  <c r="M54" i="140"/>
  <c r="M58" i="140" s="1"/>
  <c r="K65" i="140"/>
  <c r="J69" i="140"/>
  <c r="I31" i="140"/>
  <c r="H33" i="140"/>
  <c r="K65" i="139"/>
  <c r="J69" i="139"/>
  <c r="K22" i="139"/>
  <c r="K24" i="139" s="1"/>
  <c r="I24" i="139"/>
  <c r="K58" i="139" l="1"/>
  <c r="I31" i="139"/>
  <c r="K31" i="139" s="1"/>
  <c r="K33" i="139" s="1"/>
  <c r="I31" i="141"/>
  <c r="H33" i="141"/>
  <c r="K58" i="141"/>
  <c r="M54" i="141"/>
  <c r="M58" i="141" s="1"/>
  <c r="K65" i="141"/>
  <c r="J69" i="141"/>
  <c r="K22" i="141"/>
  <c r="K24" i="141" s="1"/>
  <c r="I24" i="141"/>
  <c r="I33" i="140"/>
  <c r="K31" i="140"/>
  <c r="K33" i="140" s="1"/>
  <c r="K69" i="140"/>
  <c r="M65" i="140"/>
  <c r="M69" i="140" s="1"/>
  <c r="K69" i="139"/>
  <c r="M65" i="139"/>
  <c r="M69" i="139" s="1"/>
  <c r="I33" i="139" l="1"/>
  <c r="M65" i="141"/>
  <c r="M69" i="141" s="1"/>
  <c r="K69" i="141"/>
  <c r="K31" i="141"/>
  <c r="K33" i="141" s="1"/>
  <c r="I33" i="141"/>
  <c r="K33" i="129" l="1"/>
  <c r="J33" i="129"/>
  <c r="I33" i="129"/>
  <c r="K25" i="129"/>
  <c r="J25" i="129"/>
  <c r="I25" i="129"/>
  <c r="I43" i="129"/>
  <c r="J43" i="129"/>
  <c r="K43" i="129"/>
  <c r="K26" i="129"/>
  <c r="J26" i="129"/>
  <c r="I26" i="129"/>
  <c r="J40" i="129"/>
  <c r="I40" i="129"/>
  <c r="K40" i="129"/>
  <c r="J32" i="129"/>
  <c r="I32" i="129"/>
  <c r="K32" i="129"/>
  <c r="J24" i="129"/>
  <c r="I24" i="129"/>
  <c r="K24" i="129"/>
  <c r="K42" i="129"/>
  <c r="J42" i="129"/>
  <c r="I42" i="129"/>
  <c r="K41" i="129"/>
  <c r="J41" i="129"/>
  <c r="I41" i="129"/>
  <c r="K39" i="129"/>
  <c r="J39" i="129"/>
  <c r="I39" i="129"/>
  <c r="K31" i="129"/>
  <c r="J31" i="129"/>
  <c r="I31" i="129"/>
  <c r="K23" i="129"/>
  <c r="J23" i="129"/>
  <c r="I23" i="129"/>
  <c r="I35" i="129"/>
  <c r="K35" i="129"/>
  <c r="J35" i="129"/>
  <c r="K30" i="129"/>
  <c r="J30" i="129"/>
  <c r="I30" i="129"/>
  <c r="K22" i="129"/>
  <c r="I22" i="129"/>
  <c r="J22" i="129"/>
  <c r="I27" i="129"/>
  <c r="J27" i="129"/>
  <c r="K27" i="129"/>
  <c r="K34" i="129"/>
  <c r="J34" i="129"/>
  <c r="I34" i="129"/>
  <c r="K29" i="129"/>
  <c r="J29" i="129"/>
  <c r="I29" i="129"/>
  <c r="K38" i="129"/>
  <c r="I38" i="129"/>
  <c r="J38" i="129"/>
  <c r="K37" i="129"/>
  <c r="J37" i="129"/>
  <c r="I37" i="129"/>
  <c r="K21" i="129"/>
  <c r="J21" i="129"/>
  <c r="I21" i="129"/>
  <c r="K44" i="129"/>
  <c r="J44" i="129"/>
  <c r="I44" i="129"/>
  <c r="K36" i="129"/>
  <c r="J36" i="129"/>
  <c r="I36" i="129"/>
  <c r="K28" i="129"/>
  <c r="J28" i="129"/>
  <c r="I28" i="129"/>
  <c r="G25" i="144"/>
  <c r="H35" i="129"/>
  <c r="G17" i="144"/>
  <c r="H27" i="129"/>
  <c r="G33" i="144"/>
  <c r="H43" i="129"/>
  <c r="G15" i="144"/>
  <c r="H25" i="129"/>
  <c r="G22" i="144"/>
  <c r="H32" i="129"/>
  <c r="G14" i="144"/>
  <c r="H24" i="129"/>
  <c r="G32" i="144"/>
  <c r="H42" i="129"/>
  <c r="G21" i="144"/>
  <c r="H31" i="129"/>
  <c r="G13" i="144"/>
  <c r="H23" i="129"/>
  <c r="G16" i="144"/>
  <c r="H26" i="129"/>
  <c r="G30" i="144"/>
  <c r="H40" i="129"/>
  <c r="G29" i="144"/>
  <c r="H39" i="129"/>
  <c r="G28" i="144"/>
  <c r="H38" i="129"/>
  <c r="G20" i="144"/>
  <c r="H30" i="129"/>
  <c r="G12" i="144"/>
  <c r="H22" i="129"/>
  <c r="G23" i="144"/>
  <c r="H33" i="129"/>
  <c r="G27" i="144"/>
  <c r="H37" i="129"/>
  <c r="G19" i="144"/>
  <c r="H29" i="129"/>
  <c r="G11" i="144"/>
  <c r="H21" i="129"/>
  <c r="G24" i="144"/>
  <c r="H34" i="129"/>
  <c r="G31" i="144"/>
  <c r="H41" i="129"/>
  <c r="G34" i="144"/>
  <c r="G26" i="144"/>
  <c r="H36" i="129"/>
  <c r="G18" i="144"/>
  <c r="H28" i="129"/>
  <c r="C4" i="128"/>
  <c r="C3" i="128"/>
  <c r="C2" i="128"/>
  <c r="C5" i="119"/>
  <c r="R44" i="129" l="1"/>
  <c r="Q44" i="129"/>
  <c r="S44" i="129"/>
  <c r="P44" i="129"/>
  <c r="I33" i="130"/>
  <c r="I32" i="130"/>
  <c r="I31" i="130"/>
  <c r="I30" i="130"/>
  <c r="I29" i="130"/>
  <c r="I28" i="130"/>
  <c r="I27" i="130"/>
  <c r="I26" i="130"/>
  <c r="I25" i="130"/>
  <c r="I24" i="130"/>
  <c r="I23" i="130"/>
  <c r="I22" i="130"/>
  <c r="I21" i="130"/>
  <c r="I20" i="130"/>
  <c r="I19" i="130"/>
  <c r="I18" i="130"/>
  <c r="I17" i="130"/>
  <c r="I16" i="130"/>
  <c r="I15" i="130"/>
  <c r="I14" i="130"/>
  <c r="I13" i="130"/>
  <c r="I12" i="130"/>
  <c r="I11" i="130"/>
  <c r="I10" i="130"/>
  <c r="G33" i="130"/>
  <c r="F33" i="130"/>
  <c r="E33" i="130"/>
  <c r="D33" i="130"/>
  <c r="G32" i="130"/>
  <c r="F32" i="130"/>
  <c r="E32" i="130"/>
  <c r="D32" i="130"/>
  <c r="G31" i="130"/>
  <c r="F31" i="130"/>
  <c r="E31" i="130"/>
  <c r="D31" i="130"/>
  <c r="G30" i="130"/>
  <c r="F30" i="130"/>
  <c r="E30" i="130"/>
  <c r="D30" i="130"/>
  <c r="G29" i="130"/>
  <c r="F29" i="130"/>
  <c r="E29" i="130"/>
  <c r="D29" i="130"/>
  <c r="G28" i="130"/>
  <c r="F28" i="130"/>
  <c r="E28" i="130"/>
  <c r="D28" i="130"/>
  <c r="G27" i="130"/>
  <c r="F27" i="130"/>
  <c r="E27" i="130"/>
  <c r="D27" i="130"/>
  <c r="G26" i="130"/>
  <c r="F26" i="130"/>
  <c r="E26" i="130"/>
  <c r="D26" i="130"/>
  <c r="G25" i="130"/>
  <c r="F25" i="130"/>
  <c r="E25" i="130"/>
  <c r="D25" i="130"/>
  <c r="G24" i="130"/>
  <c r="F24" i="130"/>
  <c r="E24" i="130"/>
  <c r="D24" i="130"/>
  <c r="G23" i="130"/>
  <c r="F23" i="130"/>
  <c r="E23" i="130"/>
  <c r="D23" i="130"/>
  <c r="G22" i="130"/>
  <c r="F22" i="130"/>
  <c r="E22" i="130"/>
  <c r="D22" i="130"/>
  <c r="G21" i="130"/>
  <c r="F21" i="130"/>
  <c r="E21" i="130"/>
  <c r="D21" i="130"/>
  <c r="G20" i="130"/>
  <c r="F20" i="130"/>
  <c r="E20" i="130"/>
  <c r="D20" i="130"/>
  <c r="G19" i="130"/>
  <c r="F19" i="130"/>
  <c r="E19" i="130"/>
  <c r="D19" i="130"/>
  <c r="G18" i="130"/>
  <c r="F18" i="130"/>
  <c r="E18" i="130"/>
  <c r="D18" i="130"/>
  <c r="G17" i="130"/>
  <c r="F17" i="130"/>
  <c r="E17" i="130"/>
  <c r="D17" i="130"/>
  <c r="G16" i="130"/>
  <c r="F16" i="130"/>
  <c r="E16" i="130"/>
  <c r="D16" i="130"/>
  <c r="G15" i="130"/>
  <c r="F15" i="130"/>
  <c r="E15" i="130"/>
  <c r="D15" i="130"/>
  <c r="G14" i="130"/>
  <c r="F14" i="130"/>
  <c r="E14" i="130"/>
  <c r="D14" i="130"/>
  <c r="G13" i="130"/>
  <c r="F13" i="130"/>
  <c r="E13" i="130"/>
  <c r="D13" i="130"/>
  <c r="G12" i="130"/>
  <c r="F12" i="130"/>
  <c r="E12" i="130"/>
  <c r="D12" i="130"/>
  <c r="G11" i="130"/>
  <c r="F11" i="130"/>
  <c r="E11" i="130"/>
  <c r="D11" i="130"/>
  <c r="G10" i="130"/>
  <c r="F10" i="130"/>
  <c r="E10" i="130"/>
  <c r="D10" i="130"/>
  <c r="C5" i="130"/>
  <c r="C4" i="130"/>
  <c r="C3" i="130"/>
  <c r="O44" i="129"/>
  <c r="N44" i="129"/>
  <c r="M44" i="129"/>
  <c r="O43" i="129"/>
  <c r="N43" i="129"/>
  <c r="M43" i="129"/>
  <c r="O42" i="129"/>
  <c r="N42" i="129"/>
  <c r="M42" i="129"/>
  <c r="O41" i="129"/>
  <c r="N41" i="129"/>
  <c r="M41" i="129"/>
  <c r="O40" i="129"/>
  <c r="N40" i="129"/>
  <c r="M40" i="129"/>
  <c r="O39" i="129"/>
  <c r="N39" i="129"/>
  <c r="M39" i="129"/>
  <c r="O38" i="129"/>
  <c r="N38" i="129"/>
  <c r="M38" i="129"/>
  <c r="O37" i="129"/>
  <c r="N37" i="129"/>
  <c r="M37" i="129"/>
  <c r="O36" i="129"/>
  <c r="N36" i="129"/>
  <c r="M36" i="129"/>
  <c r="O35" i="129"/>
  <c r="N35" i="129"/>
  <c r="M35" i="129"/>
  <c r="O34" i="129"/>
  <c r="N34" i="129"/>
  <c r="M34" i="129"/>
  <c r="O33" i="129"/>
  <c r="N33" i="129"/>
  <c r="M33" i="129"/>
  <c r="O32" i="129"/>
  <c r="N32" i="129"/>
  <c r="M32" i="129"/>
  <c r="O31" i="129"/>
  <c r="N31" i="129"/>
  <c r="M31" i="129"/>
  <c r="O30" i="129"/>
  <c r="N30" i="129"/>
  <c r="M30" i="129"/>
  <c r="O29" i="129"/>
  <c r="N29" i="129"/>
  <c r="M29" i="129"/>
  <c r="O28" i="129"/>
  <c r="N28" i="129"/>
  <c r="M28" i="129"/>
  <c r="O27" i="129"/>
  <c r="N27" i="129"/>
  <c r="M27" i="129"/>
  <c r="O26" i="129"/>
  <c r="N26" i="129"/>
  <c r="M26" i="129"/>
  <c r="O25" i="129"/>
  <c r="N25" i="129"/>
  <c r="M25" i="129"/>
  <c r="O24" i="129"/>
  <c r="N24" i="129"/>
  <c r="M24" i="129"/>
  <c r="O23" i="129"/>
  <c r="N23" i="129"/>
  <c r="M23" i="129"/>
  <c r="O22" i="129"/>
  <c r="N22" i="129"/>
  <c r="M22" i="129"/>
  <c r="O21" i="129"/>
  <c r="N21" i="129"/>
  <c r="M21" i="129"/>
  <c r="L21" i="129" s="1"/>
  <c r="L29" i="129" l="1"/>
  <c r="L26" i="129"/>
  <c r="L34" i="129"/>
  <c r="L42" i="129"/>
  <c r="L37" i="129"/>
  <c r="L40" i="129"/>
  <c r="L27" i="129"/>
  <c r="L35" i="129"/>
  <c r="L43" i="129"/>
  <c r="L22" i="129"/>
  <c r="L30" i="129"/>
  <c r="L38" i="129"/>
  <c r="L24" i="129"/>
  <c r="L41" i="129"/>
  <c r="L32" i="129"/>
  <c r="L25" i="129"/>
  <c r="L33" i="129"/>
  <c r="L28" i="129"/>
  <c r="L36" i="129"/>
  <c r="L44" i="129"/>
  <c r="L23" i="129"/>
  <c r="L31" i="129"/>
  <c r="L39" i="129"/>
  <c r="N32" i="130"/>
  <c r="C51" i="151"/>
  <c r="N33" i="130"/>
  <c r="N10" i="130"/>
  <c r="N18" i="130"/>
  <c r="N26" i="130"/>
  <c r="N16" i="130"/>
  <c r="N24" i="130"/>
  <c r="N17" i="130"/>
  <c r="N25" i="130"/>
  <c r="N11" i="130"/>
  <c r="N19" i="130"/>
  <c r="N27" i="130"/>
  <c r="N12" i="130"/>
  <c r="N20" i="130"/>
  <c r="N28" i="130"/>
  <c r="N13" i="130"/>
  <c r="N21" i="130"/>
  <c r="N29" i="130"/>
  <c r="N14" i="130"/>
  <c r="N22" i="130"/>
  <c r="N30" i="130"/>
  <c r="N15" i="130"/>
  <c r="N23" i="130"/>
  <c r="N31" i="130"/>
  <c r="J10" i="130"/>
  <c r="C52" i="151"/>
  <c r="J12" i="130"/>
  <c r="J14" i="130"/>
  <c r="J16" i="130"/>
  <c r="J18" i="130"/>
  <c r="J20" i="130"/>
  <c r="J22" i="130"/>
  <c r="J24" i="130"/>
  <c r="J26" i="130"/>
  <c r="J28" i="130"/>
  <c r="J30" i="130"/>
  <c r="J32" i="130"/>
  <c r="J11" i="130"/>
  <c r="J13" i="130"/>
  <c r="J15" i="130"/>
  <c r="J17" i="130"/>
  <c r="J19" i="130"/>
  <c r="J21" i="130"/>
  <c r="J23" i="130"/>
  <c r="J25" i="130"/>
  <c r="J27" i="130"/>
  <c r="J29" i="130"/>
  <c r="J31" i="130"/>
  <c r="J33" i="130"/>
  <c r="U44" i="129"/>
  <c r="V44" i="129"/>
  <c r="W44" i="129"/>
  <c r="M17" i="130"/>
  <c r="L17" i="130"/>
  <c r="K17" i="130"/>
  <c r="L21" i="130"/>
  <c r="M21" i="130"/>
  <c r="K21" i="130"/>
  <c r="M33" i="130"/>
  <c r="L33" i="130"/>
  <c r="K33" i="130"/>
  <c r="L13" i="130"/>
  <c r="K13" i="130"/>
  <c r="M13" i="130"/>
  <c r="K27" i="130"/>
  <c r="L27" i="130"/>
  <c r="M27" i="130"/>
  <c r="M23" i="130"/>
  <c r="L23" i="130"/>
  <c r="K23" i="130"/>
  <c r="L11" i="130"/>
  <c r="K11" i="130"/>
  <c r="M11" i="130"/>
  <c r="K19" i="130"/>
  <c r="L19" i="130"/>
  <c r="M19" i="130"/>
  <c r="L29" i="130"/>
  <c r="K29" i="130"/>
  <c r="M29" i="130"/>
  <c r="M31" i="130"/>
  <c r="L31" i="130"/>
  <c r="K31" i="130"/>
  <c r="M10" i="130"/>
  <c r="L10" i="130"/>
  <c r="K10" i="130"/>
  <c r="M12" i="130"/>
  <c r="L12" i="130"/>
  <c r="K12" i="130"/>
  <c r="K14" i="130"/>
  <c r="M14" i="130"/>
  <c r="L14" i="130"/>
  <c r="K16" i="130"/>
  <c r="M16" i="130"/>
  <c r="L16" i="130"/>
  <c r="M18" i="130"/>
  <c r="L18" i="130"/>
  <c r="K18" i="130"/>
  <c r="M20" i="130"/>
  <c r="L20" i="130"/>
  <c r="K20" i="130"/>
  <c r="M22" i="130"/>
  <c r="L22" i="130"/>
  <c r="K22" i="130"/>
  <c r="K24" i="130"/>
  <c r="M24" i="130"/>
  <c r="L24" i="130"/>
  <c r="M26" i="130"/>
  <c r="L26" i="130"/>
  <c r="K26" i="130"/>
  <c r="M28" i="130"/>
  <c r="L28" i="130"/>
  <c r="K28" i="130"/>
  <c r="K30" i="130"/>
  <c r="M30" i="130"/>
  <c r="L30" i="130"/>
  <c r="K32" i="130"/>
  <c r="M32" i="130"/>
  <c r="L32" i="130"/>
  <c r="M15" i="130"/>
  <c r="L15" i="130"/>
  <c r="K15" i="130"/>
  <c r="M25" i="130"/>
  <c r="L25" i="130"/>
  <c r="K25" i="130"/>
  <c r="T44" i="129" l="1"/>
  <c r="C53" i="151"/>
  <c r="E29" i="151" s="1"/>
  <c r="E32" i="119" s="1"/>
  <c r="D32" i="119" s="1"/>
  <c r="P16" i="130"/>
  <c r="Q17" i="130"/>
  <c r="R10" i="130"/>
  <c r="Q21" i="130"/>
  <c r="R17" i="130"/>
  <c r="Q11" i="130"/>
  <c r="P26" i="130"/>
  <c r="Q10" i="130"/>
  <c r="R28" i="130"/>
  <c r="R22" i="130"/>
  <c r="Q14" i="130"/>
  <c r="Q33" i="130"/>
  <c r="R31" i="130"/>
  <c r="R27" i="130"/>
  <c r="R11" i="130"/>
  <c r="P24" i="130"/>
  <c r="P10" i="130"/>
  <c r="P28" i="130"/>
  <c r="P32" i="130"/>
  <c r="R14" i="130"/>
  <c r="P11" i="130"/>
  <c r="R33" i="130"/>
  <c r="R21" i="130"/>
  <c r="Q31" i="130"/>
  <c r="P25" i="130"/>
  <c r="P21" i="130"/>
  <c r="R15" i="130"/>
  <c r="Q24" i="130"/>
  <c r="Q28" i="130"/>
  <c r="Q32" i="130"/>
  <c r="Q27" i="130"/>
  <c r="Q15" i="130"/>
  <c r="P31" i="130"/>
  <c r="Q25" i="130"/>
  <c r="P19" i="130"/>
  <c r="P15" i="130"/>
  <c r="R24" i="130"/>
  <c r="R12" i="130"/>
  <c r="R32" i="130"/>
  <c r="Q26" i="130"/>
  <c r="P30" i="130"/>
  <c r="P29" i="130"/>
  <c r="R25" i="130"/>
  <c r="Q19" i="130"/>
  <c r="P13" i="130"/>
  <c r="P18" i="130"/>
  <c r="P12" i="130"/>
  <c r="R20" i="130"/>
  <c r="P23" i="130"/>
  <c r="Q16" i="130"/>
  <c r="R16" i="130"/>
  <c r="Q29" i="130"/>
  <c r="R23" i="130"/>
  <c r="R19" i="130"/>
  <c r="Q13" i="130"/>
  <c r="R18" i="130"/>
  <c r="Q12" i="130"/>
  <c r="P20" i="130"/>
  <c r="P27" i="130"/>
  <c r="Q30" i="130"/>
  <c r="R30" i="130"/>
  <c r="P33" i="130"/>
  <c r="R29" i="130"/>
  <c r="Q23" i="130"/>
  <c r="P17" i="130"/>
  <c r="R13" i="130"/>
  <c r="R26" i="130"/>
  <c r="Q18" i="130"/>
  <c r="P22" i="130"/>
  <c r="Q20" i="130"/>
  <c r="Q22" i="130"/>
  <c r="P14" i="130"/>
  <c r="C5" i="129"/>
  <c r="C4" i="129"/>
  <c r="C3" i="129"/>
  <c r="K15" i="148" s="1" a="1"/>
  <c r="K15" i="148" s="1"/>
  <c r="K20" i="148" s="1"/>
  <c r="M15" i="148" l="1" a="1"/>
  <c r="M15" i="148" s="1"/>
  <c r="M20" i="148" s="1"/>
  <c r="E18" i="103" s="1"/>
  <c r="F18" i="103" s="1"/>
  <c r="E17" i="103"/>
  <c r="F17" i="103" s="1"/>
  <c r="O15" i="148" a="1"/>
  <c r="O15" i="148" s="1"/>
  <c r="O20" i="148" s="1"/>
  <c r="E19" i="103" s="1"/>
  <c r="Q15" i="148" a="1"/>
  <c r="Q15" i="148" s="1"/>
  <c r="Q20" i="148" s="1"/>
  <c r="E20" i="103" s="1"/>
  <c r="E15" i="148" a="1"/>
  <c r="E15" i="148" s="1"/>
  <c r="G15" i="148" a="1"/>
  <c r="G15" i="148" s="1"/>
  <c r="I15" i="148" a="1"/>
  <c r="I15" i="148" s="1"/>
  <c r="I20" i="148" s="1"/>
  <c r="E22" i="103" s="1"/>
  <c r="E14" i="148" a="1"/>
  <c r="E14" i="148" s="1"/>
  <c r="C14" i="148" a="1"/>
  <c r="C14" i="148" s="1"/>
  <c r="G14" i="148" a="1"/>
  <c r="G14" i="148" s="1"/>
  <c r="D12" i="128"/>
  <c r="J13" i="144" a="1"/>
  <c r="J34" i="144" a="1"/>
  <c r="I25" i="144" a="1"/>
  <c r="M14" i="144" a="1"/>
  <c r="M31" i="144" a="1"/>
  <c r="L30" i="144" a="1"/>
  <c r="L20" i="144" a="1"/>
  <c r="L11" i="144" a="1"/>
  <c r="H22" i="144" a="1"/>
  <c r="I21" i="144" a="1"/>
  <c r="K25" i="144" a="1"/>
  <c r="K19" i="144" a="1"/>
  <c r="I30" i="144" a="1"/>
  <c r="J11" i="144" a="1"/>
  <c r="M18" i="144" a="1"/>
  <c r="I17" i="144" a="1"/>
  <c r="K24" i="144" a="1"/>
  <c r="M15" i="144" a="1"/>
  <c r="H25" i="144" a="1"/>
  <c r="M28" i="144" a="1"/>
  <c r="M33" i="144" a="1"/>
  <c r="M13" i="144" a="1"/>
  <c r="I26" i="144" a="1"/>
  <c r="M34" i="144" a="1"/>
  <c r="H23" i="144" a="1"/>
  <c r="J25" i="144" a="1"/>
  <c r="M32" i="144" a="1"/>
  <c r="J12" i="144" a="1"/>
  <c r="H29" i="144" a="1"/>
  <c r="K28" i="144" a="1"/>
  <c r="L27" i="144" a="1"/>
  <c r="K20" i="144" a="1"/>
  <c r="M12" i="144" a="1"/>
  <c r="I33" i="144" a="1"/>
  <c r="M17" i="144" a="1"/>
  <c r="I20" i="144" a="1"/>
  <c r="K26" i="144" a="1"/>
  <c r="L19" i="144" a="1"/>
  <c r="H21" i="144" a="1"/>
  <c r="H17" i="144" a="1"/>
  <c r="L17" i="144" a="1"/>
  <c r="I19" i="144" a="1"/>
  <c r="L28" i="144" a="1"/>
  <c r="I13" i="144" a="1"/>
  <c r="K12" i="144" a="1"/>
  <c r="H31" i="144" a="1"/>
  <c r="L15" i="144" a="1"/>
  <c r="L12" i="144" a="1"/>
  <c r="L16" i="144" a="1"/>
  <c r="K22" i="144" a="1"/>
  <c r="H14" i="144" a="1"/>
  <c r="M22" i="144" a="1"/>
  <c r="J27" i="144" a="1"/>
  <c r="L22" i="144" a="1"/>
  <c r="I28" i="144" a="1"/>
  <c r="J21" i="144" a="1"/>
  <c r="K23" i="144" a="1"/>
  <c r="J26" i="144" a="1"/>
  <c r="I31" i="144" a="1"/>
  <c r="J28" i="144" a="1"/>
  <c r="K13" i="144" a="1"/>
  <c r="H26" i="144" a="1"/>
  <c r="L21" i="144" a="1"/>
  <c r="J18" i="144" a="1"/>
  <c r="I12" i="144" a="1"/>
  <c r="J20" i="144" a="1"/>
  <c r="I29" i="144" a="1"/>
  <c r="M20" i="144" a="1"/>
  <c r="K29" i="144" a="1"/>
  <c r="L34" i="144" a="1"/>
  <c r="H13" i="144" a="1"/>
  <c r="J14" i="144" a="1"/>
  <c r="M11" i="144" a="1"/>
  <c r="L23" i="144" a="1"/>
  <c r="K33" i="144" a="1"/>
  <c r="I15" i="144" a="1"/>
  <c r="K18" i="144" a="1"/>
  <c r="H18" i="144" a="1"/>
  <c r="K27" i="144" a="1"/>
  <c r="K15" i="144" a="1"/>
  <c r="H27" i="144" a="1"/>
  <c r="M26" i="144" a="1"/>
  <c r="K32" i="144" a="1"/>
  <c r="J30" i="144" a="1"/>
  <c r="H32" i="144" a="1"/>
  <c r="K34" i="144" a="1"/>
  <c r="L25" i="144" a="1"/>
  <c r="L32" i="144" a="1"/>
  <c r="H15" i="144" a="1"/>
  <c r="H34" i="144" a="1"/>
  <c r="J23" i="144" a="1"/>
  <c r="H16" i="144" a="1"/>
  <c r="M23" i="144" a="1"/>
  <c r="L29" i="144" a="1"/>
  <c r="J15" i="144" a="1"/>
  <c r="I27" i="144" a="1"/>
  <c r="L18" i="144" a="1"/>
  <c r="I24" i="144" a="1"/>
  <c r="M24" i="144" a="1"/>
  <c r="J16" i="144" a="1"/>
  <c r="K11" i="144" a="1"/>
  <c r="L33" i="144" a="1"/>
  <c r="H19" i="144" a="1"/>
  <c r="H33" i="144" a="1"/>
  <c r="J29" i="144" a="1"/>
  <c r="I16" i="144" a="1"/>
  <c r="J19" i="144" a="1"/>
  <c r="I18" i="144" a="1"/>
  <c r="J24" i="144" a="1"/>
  <c r="H12" i="144" a="1"/>
  <c r="H24" i="144" a="1"/>
  <c r="M16" i="144" a="1"/>
  <c r="I34" i="144" a="1"/>
  <c r="M29" i="144" a="1"/>
  <c r="L13" i="144" a="1"/>
  <c r="M21" i="144" a="1"/>
  <c r="K17" i="144" a="1"/>
  <c r="I14" i="144" a="1"/>
  <c r="J17" i="144" a="1"/>
  <c r="M19" i="144" a="1"/>
  <c r="K31" i="144" a="1"/>
  <c r="I23" i="144" a="1"/>
  <c r="M30" i="144" a="1"/>
  <c r="L26" i="144" a="1"/>
  <c r="I11" i="144" a="1"/>
  <c r="L14" i="144" a="1"/>
  <c r="K21" i="144" a="1"/>
  <c r="K16" i="144" a="1"/>
  <c r="K14" i="144" a="1"/>
  <c r="L24" i="144" a="1"/>
  <c r="I32" i="144" a="1"/>
  <c r="M25" i="144" a="1"/>
  <c r="J33" i="144" a="1"/>
  <c r="J32" i="144" a="1"/>
  <c r="H11" i="144" a="1"/>
  <c r="H30" i="144" a="1"/>
  <c r="J22" i="144" a="1"/>
  <c r="J31" i="144" a="1"/>
  <c r="M27" i="144" a="1"/>
  <c r="L31" i="144" a="1"/>
  <c r="K30" i="144" a="1"/>
  <c r="I22" i="144" a="1"/>
  <c r="H28" i="144" a="1"/>
  <c r="H20" i="144" a="1"/>
  <c r="H18" i="103" l="1"/>
  <c r="H17" i="103"/>
  <c r="M26" i="144"/>
  <c r="L26" i="144"/>
  <c r="L18" i="144"/>
  <c r="H21" i="144"/>
  <c r="H14" i="144"/>
  <c r="J28" i="144"/>
  <c r="K25" i="144"/>
  <c r="K26" i="144"/>
  <c r="L25" i="144"/>
  <c r="K34" i="144"/>
  <c r="L34" i="144"/>
  <c r="J18" i="144"/>
  <c r="I14" i="144"/>
  <c r="J30" i="144"/>
  <c r="H13" i="144"/>
  <c r="I22" i="144"/>
  <c r="L28" i="144"/>
  <c r="I28" i="144"/>
  <c r="H22" i="144"/>
  <c r="L24" i="144"/>
  <c r="L30" i="144"/>
  <c r="K13" i="144"/>
  <c r="M17" i="144"/>
  <c r="J22" i="144"/>
  <c r="H19" i="144"/>
  <c r="H34" i="144"/>
  <c r="M19" i="144"/>
  <c r="J11" i="144"/>
  <c r="J33" i="144"/>
  <c r="K17" i="144"/>
  <c r="I25" i="144"/>
  <c r="H20" i="144"/>
  <c r="M20" i="144"/>
  <c r="I31" i="144"/>
  <c r="J14" i="144"/>
  <c r="M28" i="144"/>
  <c r="J20" i="144"/>
  <c r="H12" i="144"/>
  <c r="L15" i="144"/>
  <c r="J12" i="144"/>
  <c r="K28" i="144"/>
  <c r="H15" i="144"/>
  <c r="M32" i="144"/>
  <c r="M16" i="144"/>
  <c r="K31" i="144"/>
  <c r="J24" i="144"/>
  <c r="K30" i="144"/>
  <c r="J32" i="144"/>
  <c r="L11" i="144"/>
  <c r="H18" i="144"/>
  <c r="J31" i="144"/>
  <c r="L23" i="144"/>
  <c r="K19" i="144"/>
  <c r="M30" i="144"/>
  <c r="J21" i="144"/>
  <c r="M25" i="144"/>
  <c r="J34" i="144"/>
  <c r="H33" i="144"/>
  <c r="K12" i="144"/>
  <c r="M23" i="144"/>
  <c r="H26" i="144"/>
  <c r="I24" i="144"/>
  <c r="K24" i="144"/>
  <c r="I18" i="144"/>
  <c r="M21" i="144"/>
  <c r="L14" i="144"/>
  <c r="H16" i="144"/>
  <c r="M33" i="144"/>
  <c r="I19" i="144"/>
  <c r="H30" i="144"/>
  <c r="J16" i="144"/>
  <c r="K14" i="144"/>
  <c r="J17" i="144"/>
  <c r="K23" i="144"/>
  <c r="L21" i="144"/>
  <c r="H31" i="144"/>
  <c r="K11" i="144"/>
  <c r="K18" i="144"/>
  <c r="I29" i="144"/>
  <c r="L19" i="144"/>
  <c r="H23" i="144"/>
  <c r="I12" i="144"/>
  <c r="M12" i="144"/>
  <c r="J15" i="144"/>
  <c r="I27" i="144"/>
  <c r="J27" i="144"/>
  <c r="M18" i="144"/>
  <c r="K16" i="144"/>
  <c r="J25" i="144"/>
  <c r="H29" i="144"/>
  <c r="I26" i="144"/>
  <c r="M31" i="144"/>
  <c r="I33" i="144"/>
  <c r="L17" i="144"/>
  <c r="M27" i="144"/>
  <c r="I20" i="144"/>
  <c r="J26" i="144"/>
  <c r="I17" i="144"/>
  <c r="I30" i="144"/>
  <c r="K20" i="144"/>
  <c r="I13" i="144"/>
  <c r="H32" i="144"/>
  <c r="I23" i="144"/>
  <c r="I32" i="144"/>
  <c r="M24" i="144"/>
  <c r="L31" i="144"/>
  <c r="M29" i="144"/>
  <c r="L33" i="144"/>
  <c r="M14" i="144"/>
  <c r="L12" i="144"/>
  <c r="I15" i="144"/>
  <c r="L13" i="144"/>
  <c r="H17" i="144"/>
  <c r="I34" i="144"/>
  <c r="M11" i="144"/>
  <c r="L20" i="144"/>
  <c r="L16" i="144"/>
  <c r="I16" i="144"/>
  <c r="H24" i="144"/>
  <c r="K29" i="144"/>
  <c r="L22" i="144"/>
  <c r="H27" i="144"/>
  <c r="K15" i="144"/>
  <c r="L27" i="144"/>
  <c r="M15" i="144"/>
  <c r="J19" i="144"/>
  <c r="I21" i="144"/>
  <c r="H11" i="144"/>
  <c r="M22" i="144"/>
  <c r="K32" i="144"/>
  <c r="J29" i="144"/>
  <c r="M34" i="144"/>
  <c r="K33" i="144"/>
  <c r="H28" i="144"/>
  <c r="I11" i="144"/>
  <c r="K27" i="144"/>
  <c r="L29" i="144"/>
  <c r="H25" i="144"/>
  <c r="K22" i="144"/>
  <c r="K21" i="144"/>
  <c r="M13" i="144"/>
  <c r="J13" i="144"/>
  <c r="L32" i="144"/>
  <c r="J23" i="144"/>
  <c r="F19" i="103"/>
  <c r="J12" i="128"/>
  <c r="H12" i="128"/>
  <c r="C12" i="128"/>
  <c r="E12" i="128" s="1"/>
  <c r="F12" i="128" s="1"/>
  <c r="G12" i="128" s="1"/>
  <c r="D14" i="18" s="1"/>
  <c r="D13" i="148" s="1"/>
  <c r="H19" i="103" l="1"/>
  <c r="P34" i="144"/>
  <c r="E17" i="148" s="1" a="1"/>
  <c r="E17" i="148" s="1"/>
  <c r="S34" i="144"/>
  <c r="G16" i="148" s="1" a="1"/>
  <c r="G16" i="148" s="1"/>
  <c r="R34" i="144"/>
  <c r="G17" i="148" s="1" a="1"/>
  <c r="G17" i="148" s="1"/>
  <c r="N34" i="144"/>
  <c r="C17" i="148" s="1" a="1"/>
  <c r="C17" i="148" s="1"/>
  <c r="Q34" i="144"/>
  <c r="E16" i="148" s="1" a="1"/>
  <c r="E16" i="148" s="1"/>
  <c r="O34" i="144"/>
  <c r="C16" i="148" s="1" a="1"/>
  <c r="C16" i="148" s="1"/>
  <c r="K12" i="128"/>
  <c r="H14" i="18" s="1"/>
  <c r="I12" i="128"/>
  <c r="F14" i="18" s="1"/>
  <c r="C14" i="18"/>
  <c r="E20" i="148" l="1"/>
  <c r="E15" i="103" s="1"/>
  <c r="G20" i="148"/>
  <c r="E16" i="103" s="1"/>
  <c r="C20" i="148"/>
  <c r="E14" i="103" s="1"/>
  <c r="E14" i="18"/>
  <c r="F13" i="148"/>
  <c r="G14" i="18"/>
  <c r="H13" i="148"/>
  <c r="C32" i="119"/>
  <c r="B5" i="127"/>
  <c r="B4" i="127"/>
  <c r="B3" i="127"/>
  <c r="E67" i="127"/>
  <c r="E66" i="127"/>
  <c r="E65" i="127"/>
  <c r="E64" i="127"/>
  <c r="K56" i="127"/>
  <c r="K67" i="127" s="1"/>
  <c r="F56" i="127"/>
  <c r="F67" i="127" s="1"/>
  <c r="C56" i="127"/>
  <c r="K55" i="127"/>
  <c r="K66" i="127" s="1"/>
  <c r="F55" i="127"/>
  <c r="F66" i="127" s="1"/>
  <c r="C55" i="127"/>
  <c r="K54" i="127"/>
  <c r="K65" i="127" s="1"/>
  <c r="F54" i="127"/>
  <c r="F65" i="127" s="1"/>
  <c r="C54" i="127"/>
  <c r="C65" i="127" s="1"/>
  <c r="K53" i="127"/>
  <c r="K64" i="127" s="1"/>
  <c r="F53" i="127"/>
  <c r="F64" i="127" s="1"/>
  <c r="D45" i="127"/>
  <c r="D56" i="127" s="1"/>
  <c r="D67" i="127" s="1"/>
  <c r="D44" i="127"/>
  <c r="D43" i="127"/>
  <c r="G43" i="127" s="1"/>
  <c r="D42" i="127"/>
  <c r="G42" i="127" s="1"/>
  <c r="C23" i="127"/>
  <c r="C32" i="127" s="1"/>
  <c r="C22" i="127"/>
  <c r="D14" i="127"/>
  <c r="D23" i="127" s="1"/>
  <c r="D32" i="127" s="1"/>
  <c r="D13" i="127"/>
  <c r="B91" i="127" s="1"/>
  <c r="B92" i="127" s="1"/>
  <c r="B97" i="127" s="1"/>
  <c r="B98" i="127" l="1"/>
  <c r="H42" i="127" s="1"/>
  <c r="F13" i="127"/>
  <c r="F14" i="127" s="1"/>
  <c r="D53" i="127"/>
  <c r="D64" i="127" s="1"/>
  <c r="D54" i="127"/>
  <c r="D65" i="127" s="1"/>
  <c r="G65" i="127" s="1"/>
  <c r="G45" i="127"/>
  <c r="E14" i="127"/>
  <c r="G56" i="127"/>
  <c r="E32" i="127"/>
  <c r="D55" i="127"/>
  <c r="D66" i="127" s="1"/>
  <c r="G44" i="127"/>
  <c r="E13" i="127"/>
  <c r="D22" i="127"/>
  <c r="D31" i="127" s="1"/>
  <c r="E31" i="127" s="1"/>
  <c r="E23" i="127"/>
  <c r="C66" i="127"/>
  <c r="C67" i="127"/>
  <c r="G67" i="127" s="1"/>
  <c r="H43" i="127" l="1"/>
  <c r="G64" i="127"/>
  <c r="G53" i="127"/>
  <c r="G66" i="127"/>
  <c r="G55" i="127"/>
  <c r="G54" i="127"/>
  <c r="E22" i="127"/>
  <c r="G53" i="124" l="1"/>
  <c r="F24" i="124" s="1"/>
  <c r="F53" i="124"/>
  <c r="F23" i="124" s="1"/>
  <c r="E53" i="124"/>
  <c r="F22" i="124" s="1"/>
  <c r="C11" i="124"/>
  <c r="F40" i="124"/>
  <c r="F39" i="124"/>
  <c r="F38" i="124"/>
  <c r="F37" i="124"/>
  <c r="F36" i="124"/>
  <c r="F35" i="124"/>
  <c r="F34" i="124"/>
  <c r="F33" i="124"/>
  <c r="F32" i="124"/>
  <c r="F31" i="124"/>
  <c r="F30" i="124"/>
  <c r="C5" i="124"/>
  <c r="C4" i="124"/>
  <c r="C3" i="124"/>
  <c r="C22" i="124" l="1"/>
  <c r="C23" i="124"/>
  <c r="C24" i="124"/>
  <c r="C40" i="124" l="1"/>
  <c r="C32" i="124"/>
  <c r="C39" i="124"/>
  <c r="C31" i="124"/>
  <c r="C38" i="124"/>
  <c r="C30" i="124"/>
  <c r="C37" i="124"/>
  <c r="C36" i="124"/>
  <c r="C35" i="124"/>
  <c r="C34" i="124"/>
  <c r="C33" i="124"/>
  <c r="E48" i="119"/>
  <c r="E47" i="119"/>
  <c r="E46" i="119"/>
  <c r="E45" i="119"/>
  <c r="E44" i="119"/>
  <c r="E43" i="119"/>
  <c r="E42" i="119"/>
  <c r="E41" i="119"/>
  <c r="E40" i="119"/>
  <c r="E39" i="119"/>
  <c r="E38" i="119"/>
  <c r="C27" i="124" l="1"/>
  <c r="C4" i="119"/>
  <c r="C3" i="119"/>
  <c r="D51" i="119" l="1"/>
  <c r="T11" i="18" s="1"/>
  <c r="D31" i="119"/>
  <c r="J11" i="18" s="1"/>
  <c r="J22" i="18" s="1"/>
  <c r="D27" i="119"/>
  <c r="H11" i="18" s="1"/>
  <c r="D26" i="119"/>
  <c r="F11" i="18" s="1"/>
  <c r="D25" i="119"/>
  <c r="C12" i="124"/>
  <c r="E11" i="18"/>
  <c r="C11" i="18"/>
  <c r="G11" i="18"/>
  <c r="I11" i="18"/>
  <c r="I22" i="18" s="1"/>
  <c r="C4" i="18"/>
  <c r="C5" i="18"/>
  <c r="C3" i="18"/>
  <c r="D41" i="119" l="1"/>
  <c r="D47" i="119"/>
  <c r="D39" i="119"/>
  <c r="D46" i="119"/>
  <c r="D38" i="119"/>
  <c r="D45" i="119"/>
  <c r="D43" i="119"/>
  <c r="D48" i="119"/>
  <c r="D44" i="119"/>
  <c r="V11" i="18" s="1"/>
  <c r="D42" i="119"/>
  <c r="D40" i="119"/>
  <c r="T22" i="18"/>
  <c r="T19" i="18"/>
  <c r="D21" i="103" s="1"/>
  <c r="T11" i="148"/>
  <c r="J11" i="148"/>
  <c r="J21" i="148" s="1"/>
  <c r="J19" i="18"/>
  <c r="H11" i="148"/>
  <c r="D11" i="18"/>
  <c r="D23" i="124"/>
  <c r="D22" i="124"/>
  <c r="D24" i="124"/>
  <c r="F11" i="148"/>
  <c r="U11" i="18"/>
  <c r="D37" i="124" l="1"/>
  <c r="E37" i="124" s="1"/>
  <c r="D36" i="124"/>
  <c r="D35" i="124"/>
  <c r="E35" i="124" s="1"/>
  <c r="D31" i="124"/>
  <c r="E31" i="124" s="1"/>
  <c r="D34" i="124"/>
  <c r="E34" i="124" s="1"/>
  <c r="D39" i="124"/>
  <c r="E39" i="124" s="1"/>
  <c r="D33" i="124"/>
  <c r="E33" i="124" s="1"/>
  <c r="D30" i="124"/>
  <c r="E30" i="124" s="1"/>
  <c r="D40" i="124"/>
  <c r="E40" i="124" s="1"/>
  <c r="D32" i="124"/>
  <c r="E32" i="124" s="1"/>
  <c r="D38" i="124"/>
  <c r="T20" i="148"/>
  <c r="T21" i="148"/>
  <c r="E22" i="124"/>
  <c r="D13" i="18" s="1"/>
  <c r="E24" i="124"/>
  <c r="H13" i="18" s="1"/>
  <c r="E23" i="124"/>
  <c r="F13" i="18" s="1"/>
  <c r="J20" i="148"/>
  <c r="O13" i="130"/>
  <c r="O30" i="130"/>
  <c r="O27" i="130"/>
  <c r="O12" i="130"/>
  <c r="O26" i="130"/>
  <c r="O10" i="130"/>
  <c r="O20" i="130"/>
  <c r="O22" i="130"/>
  <c r="O33" i="130"/>
  <c r="O18" i="130"/>
  <c r="O32" i="130"/>
  <c r="O16" i="130"/>
  <c r="O25" i="130"/>
  <c r="O21" i="130"/>
  <c r="O17" i="130"/>
  <c r="O31" i="130"/>
  <c r="O14" i="130"/>
  <c r="O28" i="130"/>
  <c r="O15" i="130"/>
  <c r="S15" i="148" a="1"/>
  <c r="S15" i="148" s="1"/>
  <c r="O24" i="130"/>
  <c r="O29" i="130"/>
  <c r="O23" i="130"/>
  <c r="O11" i="130"/>
  <c r="O19" i="130"/>
  <c r="D35" i="119"/>
  <c r="R11" i="18" s="1"/>
  <c r="H54" i="127"/>
  <c r="I43" i="127"/>
  <c r="J43" i="127" s="1"/>
  <c r="L43" i="127" s="1"/>
  <c r="G13" i="127"/>
  <c r="F15" i="127"/>
  <c r="F22" i="127"/>
  <c r="R11" i="148"/>
  <c r="D11" i="148"/>
  <c r="H46" i="127"/>
  <c r="H53" i="127"/>
  <c r="I42" i="127"/>
  <c r="H55" i="127"/>
  <c r="I44" i="127"/>
  <c r="J44" i="127" s="1"/>
  <c r="L44" i="127" s="1"/>
  <c r="H56" i="127"/>
  <c r="I45" i="127"/>
  <c r="J45" i="127" s="1"/>
  <c r="L45" i="127" s="1"/>
  <c r="F23" i="127"/>
  <c r="G14" i="127"/>
  <c r="H14" i="127" s="1"/>
  <c r="J14" i="127" s="1"/>
  <c r="C35" i="119"/>
  <c r="Q11" i="18" s="1"/>
  <c r="C13" i="18" l="1"/>
  <c r="C22" i="18" s="1"/>
  <c r="D12" i="148"/>
  <c r="D21" i="148" s="1"/>
  <c r="D22" i="18"/>
  <c r="E13" i="18"/>
  <c r="E22" i="18" s="1"/>
  <c r="F22" i="18"/>
  <c r="G13" i="18"/>
  <c r="G22" i="18" s="1"/>
  <c r="H22" i="18"/>
  <c r="H12" i="148"/>
  <c r="H21" i="148" s="1"/>
  <c r="F12" i="148"/>
  <c r="F21" i="148" s="1"/>
  <c r="E36" i="124"/>
  <c r="V13" i="18" s="1"/>
  <c r="E38" i="124"/>
  <c r="S20" i="148"/>
  <c r="E21" i="103" s="1"/>
  <c r="F21" i="103" s="1"/>
  <c r="J42" i="127"/>
  <c r="I46" i="127"/>
  <c r="H66" i="127"/>
  <c r="I66" i="127" s="1"/>
  <c r="J66" i="127" s="1"/>
  <c r="L66" i="127" s="1"/>
  <c r="I55" i="127"/>
  <c r="J55" i="127" s="1"/>
  <c r="L55" i="127" s="1"/>
  <c r="I53" i="127"/>
  <c r="H64" i="127"/>
  <c r="H57" i="127"/>
  <c r="D27" i="124"/>
  <c r="F24" i="127"/>
  <c r="G22" i="127"/>
  <c r="F31" i="127"/>
  <c r="H67" i="127"/>
  <c r="I67" i="127" s="1"/>
  <c r="J67" i="127" s="1"/>
  <c r="L67" i="127" s="1"/>
  <c r="I56" i="127"/>
  <c r="J56" i="127" s="1"/>
  <c r="L56" i="127" s="1"/>
  <c r="F32" i="127"/>
  <c r="G32" i="127" s="1"/>
  <c r="H32" i="127" s="1"/>
  <c r="J32" i="127" s="1"/>
  <c r="G23" i="127"/>
  <c r="H23" i="127" s="1"/>
  <c r="J23" i="127" s="1"/>
  <c r="H13" i="127"/>
  <c r="G15" i="127"/>
  <c r="H65" i="127"/>
  <c r="I65" i="127" s="1"/>
  <c r="J65" i="127" s="1"/>
  <c r="L65" i="127" s="1"/>
  <c r="I54" i="127"/>
  <c r="J54" i="127" s="1"/>
  <c r="L54" i="127" s="1"/>
  <c r="U13" i="18" l="1"/>
  <c r="U22" i="18" s="1"/>
  <c r="V22" i="18"/>
  <c r="H21" i="103"/>
  <c r="R12" i="148"/>
  <c r="E27" i="124"/>
  <c r="R13" i="18" s="1"/>
  <c r="V19" i="18"/>
  <c r="F33" i="127"/>
  <c r="G31" i="127"/>
  <c r="H68" i="127"/>
  <c r="I64" i="127"/>
  <c r="H22" i="127"/>
  <c r="G24" i="127"/>
  <c r="J13" i="127"/>
  <c r="J15" i="127" s="1"/>
  <c r="D17" i="18" s="1"/>
  <c r="H15" i="127"/>
  <c r="J53" i="127"/>
  <c r="I57" i="127"/>
  <c r="L42" i="127"/>
  <c r="L46" i="127" s="1"/>
  <c r="D16" i="18" s="1"/>
  <c r="J46" i="127"/>
  <c r="D19" i="18" l="1"/>
  <c r="Q13" i="18"/>
  <c r="Q22" i="18" s="1"/>
  <c r="R22" i="18"/>
  <c r="R20" i="148"/>
  <c r="R21" i="148"/>
  <c r="R19" i="18"/>
  <c r="D17" i="148"/>
  <c r="C17" i="18"/>
  <c r="J64" i="127"/>
  <c r="I68" i="127"/>
  <c r="C16" i="18"/>
  <c r="D16" i="148"/>
  <c r="H31" i="127"/>
  <c r="G33" i="127"/>
  <c r="J57" i="127"/>
  <c r="L53" i="127"/>
  <c r="L57" i="127" s="1"/>
  <c r="F16" i="18" s="1"/>
  <c r="H24" i="127"/>
  <c r="J22" i="127"/>
  <c r="J24" i="127" s="1"/>
  <c r="F17" i="18" s="1"/>
  <c r="F17" i="148" l="1"/>
  <c r="E17" i="18"/>
  <c r="D20" i="148"/>
  <c r="C29" i="151"/>
  <c r="D29" i="151"/>
  <c r="F19" i="18"/>
  <c r="J31" i="127"/>
  <c r="J33" i="127" s="1"/>
  <c r="H17" i="18" s="1"/>
  <c r="H33" i="127"/>
  <c r="E16" i="18"/>
  <c r="F16" i="148"/>
  <c r="J68" i="127"/>
  <c r="L64" i="127"/>
  <c r="L68" i="127" s="1"/>
  <c r="H16" i="18" s="1"/>
  <c r="H17" i="148" l="1"/>
  <c r="G17" i="18"/>
  <c r="F20" i="148"/>
  <c r="H19" i="18"/>
  <c r="G16" i="18"/>
  <c r="H16" i="148"/>
  <c r="H20" i="148" l="1"/>
  <c r="D22" i="103" l="1"/>
  <c r="F22" i="103" s="1"/>
  <c r="H22" i="103" l="1"/>
  <c r="D20" i="103"/>
  <c r="F20" i="103" s="1"/>
  <c r="H20" i="103" l="1"/>
  <c r="D15" i="103" l="1"/>
  <c r="F15" i="103" s="1"/>
  <c r="D14" i="103" l="1"/>
  <c r="F14" i="103" s="1"/>
  <c r="D16" i="103"/>
  <c r="H15" i="103"/>
  <c r="H14" i="103" l="1"/>
  <c r="F16" i="103"/>
  <c r="H16" i="10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<sst xmlns="http://schemas.openxmlformats.org/spreadsheetml/2006/main" count="2307" uniqueCount="335">
  <si>
    <t>Company Name:</t>
  </si>
  <si>
    <t>U. S. Steel</t>
  </si>
  <si>
    <t>Facility Name:</t>
  </si>
  <si>
    <t>Edgar Thomson Plant</t>
  </si>
  <si>
    <t>Project Description:</t>
  </si>
  <si>
    <t xml:space="preserve"> </t>
  </si>
  <si>
    <r>
      <t>Pollutant</t>
    </r>
    <r>
      <rPr>
        <b/>
        <vertAlign val="superscript"/>
        <sz val="10"/>
        <rFont val="Arial Narrow"/>
        <family val="2"/>
      </rPr>
      <t>1</t>
    </r>
  </si>
  <si>
    <t>PSD/NA NSR</t>
  </si>
  <si>
    <t>Total Project Emissions Increase</t>
  </si>
  <si>
    <t>Significant Emission Rate
(tpy)</t>
  </si>
  <si>
    <t>Increase &gt; SER?</t>
  </si>
  <si>
    <t>Future Emissions</t>
  </si>
  <si>
    <r>
      <t xml:space="preserve">Baseline Actual Emissions </t>
    </r>
    <r>
      <rPr>
        <b/>
        <vertAlign val="superscript"/>
        <sz val="10"/>
        <rFont val="Arial Narrow"/>
        <family val="2"/>
      </rPr>
      <t>2,3</t>
    </r>
  </si>
  <si>
    <t>(tpy)</t>
  </si>
  <si>
    <t>PM (Filterable)</t>
  </si>
  <si>
    <t>PSD</t>
  </si>
  <si>
    <r>
      <t>PM</t>
    </r>
    <r>
      <rPr>
        <vertAlign val="subscript"/>
        <sz val="10"/>
        <rFont val="Arial Narrow"/>
        <family val="2"/>
      </rPr>
      <t>10 (Filterable + Condensable)</t>
    </r>
  </si>
  <si>
    <r>
      <t>PM</t>
    </r>
    <r>
      <rPr>
        <vertAlign val="subscript"/>
        <sz val="10"/>
        <rFont val="Arial Narrow"/>
        <family val="2"/>
      </rPr>
      <t>2.5 (Filterable + Condensable)</t>
    </r>
  </si>
  <si>
    <t>NA NSR</t>
  </si>
  <si>
    <r>
      <t>NO</t>
    </r>
    <r>
      <rPr>
        <vertAlign val="subscript"/>
        <sz val="10"/>
        <rFont val="Arial Narrow"/>
        <family val="2"/>
      </rPr>
      <t>x</t>
    </r>
  </si>
  <si>
    <t>PSD / NA NSR (precursor)</t>
  </si>
  <si>
    <t>CO</t>
  </si>
  <si>
    <t>VOC</t>
  </si>
  <si>
    <t>NA NSR (precursor)</t>
  </si>
  <si>
    <t>Lead</t>
  </si>
  <si>
    <r>
      <t>H</t>
    </r>
    <r>
      <rPr>
        <vertAlign val="subscript"/>
        <sz val="10"/>
        <rFont val="Arial Narrow"/>
        <family val="2"/>
      </rPr>
      <t>2</t>
    </r>
    <r>
      <rPr>
        <sz val="10"/>
        <rFont val="Arial Narrow"/>
        <family val="2"/>
      </rPr>
      <t>S</t>
    </r>
  </si>
  <si>
    <r>
      <t>SO</t>
    </r>
    <r>
      <rPr>
        <vertAlign val="subscript"/>
        <sz val="10"/>
        <rFont val="Arial Narrow"/>
        <family val="2"/>
      </rPr>
      <t>2</t>
    </r>
  </si>
  <si>
    <t>NOTES:</t>
  </si>
  <si>
    <r>
      <t>1. PSD also has established SERs for total reduced sulfur, fluorides, CO</t>
    </r>
    <r>
      <rPr>
        <vertAlign val="subscript"/>
        <sz val="10"/>
        <rFont val="Arial Narrow"/>
        <family val="2"/>
      </rPr>
      <t>2</t>
    </r>
    <r>
      <rPr>
        <sz val="10"/>
        <rFont val="Arial Narrow"/>
        <family val="2"/>
      </rPr>
      <t xml:space="preserve">e and sulfuric acid mist. However, such emissions are not reasonably quantifiable or expected. </t>
    </r>
  </si>
  <si>
    <r>
      <t>2.  Baseline emissions are based on emissions reported by U. S. Steel as part of annual emissions inventories, except where recomputed based on recently uncovered, more representative factors (e.g., PM species, CO, VOC, NO</t>
    </r>
    <r>
      <rPr>
        <vertAlign val="subscript"/>
        <sz val="10"/>
        <rFont val="Arial Narrow"/>
        <family val="2"/>
      </rPr>
      <t>x</t>
    </r>
    <r>
      <rPr>
        <sz val="10"/>
        <rFont val="Arial Narrow"/>
        <family val="2"/>
      </rPr>
      <t>, H</t>
    </r>
    <r>
      <rPr>
        <vertAlign val="subscript"/>
        <sz val="10"/>
        <rFont val="Arial Narrow"/>
        <family val="2"/>
      </rPr>
      <t>2</t>
    </r>
    <r>
      <rPr>
        <sz val="10"/>
        <rFont val="Arial Narrow"/>
        <family val="2"/>
      </rPr>
      <t>S and SO</t>
    </r>
    <r>
      <rPr>
        <vertAlign val="subscript"/>
        <sz val="10"/>
        <rFont val="Arial Narrow"/>
        <family val="2"/>
      </rPr>
      <t>2</t>
    </r>
    <r>
      <rPr>
        <sz val="10"/>
        <rFont val="Arial Narrow"/>
        <family val="2"/>
      </rPr>
      <t xml:space="preserve"> from existing slag pit operations).</t>
    </r>
  </si>
  <si>
    <t xml:space="preserve">3. Baseline Period End Date: </t>
  </si>
  <si>
    <t>Future Emissions - System Inputs</t>
  </si>
  <si>
    <t>Percentage through new system:</t>
  </si>
  <si>
    <t>Percentage through existing system:</t>
  </si>
  <si>
    <t>Future Slag Granulator Production Rate (tpy)</t>
  </si>
  <si>
    <t>(Title V slag volumes)</t>
  </si>
  <si>
    <t>Future Slag Granulator Throughput (tpy)</t>
  </si>
  <si>
    <t>Future Existing Slag Pit Throughput (tpy)</t>
  </si>
  <si>
    <t>Table 2. Slag Granulation Project Emissions Summary</t>
  </si>
  <si>
    <t>PM (filterable)</t>
  </si>
  <si>
    <r>
      <t>PM</t>
    </r>
    <r>
      <rPr>
        <b/>
        <vertAlign val="subscript"/>
        <sz val="9"/>
        <color rgb="FF000000"/>
        <rFont val="Arial Narrow"/>
        <family val="2"/>
      </rPr>
      <t>10</t>
    </r>
  </si>
  <si>
    <r>
      <t>PM</t>
    </r>
    <r>
      <rPr>
        <b/>
        <vertAlign val="subscript"/>
        <sz val="9"/>
        <color rgb="FF000000"/>
        <rFont val="Arial Narrow"/>
        <family val="2"/>
      </rPr>
      <t>2.5</t>
    </r>
  </si>
  <si>
    <r>
      <t>SO</t>
    </r>
    <r>
      <rPr>
        <b/>
        <vertAlign val="subscript"/>
        <sz val="9"/>
        <color rgb="FF000000"/>
        <rFont val="Arial Narrow"/>
        <family val="2"/>
      </rPr>
      <t>2</t>
    </r>
  </si>
  <si>
    <r>
      <t>NO</t>
    </r>
    <r>
      <rPr>
        <b/>
        <vertAlign val="subscript"/>
        <sz val="9"/>
        <color rgb="FF000000"/>
        <rFont val="Arial Narrow"/>
        <family val="2"/>
      </rPr>
      <t>x</t>
    </r>
  </si>
  <si>
    <r>
      <t>H</t>
    </r>
    <r>
      <rPr>
        <b/>
        <vertAlign val="subscript"/>
        <sz val="9"/>
        <color rgb="FF000000"/>
        <rFont val="Arial Narrow"/>
        <family val="2"/>
      </rPr>
      <t>2</t>
    </r>
    <r>
      <rPr>
        <b/>
        <sz val="9"/>
        <color rgb="FF000000"/>
        <rFont val="Arial Narrow"/>
        <family val="2"/>
      </rPr>
      <t>S</t>
    </r>
  </si>
  <si>
    <t>Unit Description</t>
  </si>
  <si>
    <t>BAE (tpy)</t>
  </si>
  <si>
    <t>PAE (tpy)</t>
  </si>
  <si>
    <t>Slag Granulators</t>
  </si>
  <si>
    <t>New Slag Handling</t>
  </si>
  <si>
    <t>New Slag Pile</t>
  </si>
  <si>
    <t>Existing Slag Quench and Handling</t>
  </si>
  <si>
    <t>--</t>
  </si>
  <si>
    <t>Existing Slag Pit</t>
  </si>
  <si>
    <t>Unpaved Roads</t>
  </si>
  <si>
    <t>Paved Roads</t>
  </si>
  <si>
    <t>PM</t>
  </si>
  <si>
    <t>PM10</t>
  </si>
  <si>
    <t>PM2.5</t>
  </si>
  <si>
    <t>TOTAL PROJECT EMISSIONS</t>
  </si>
  <si>
    <t>New Equipment Emissions</t>
  </si>
  <si>
    <t>Lookup Functions</t>
  </si>
  <si>
    <t>Table 3. Summary of Future Emissions from Slag Granulator Project</t>
  </si>
  <si>
    <t>Emission Unit Description</t>
  </si>
  <si>
    <r>
      <t>PM</t>
    </r>
    <r>
      <rPr>
        <b/>
        <vertAlign val="subscript"/>
        <sz val="10"/>
        <color theme="1"/>
        <rFont val="Arial Narrow"/>
        <family val="2"/>
      </rPr>
      <t>10</t>
    </r>
  </si>
  <si>
    <r>
      <t>PM</t>
    </r>
    <r>
      <rPr>
        <b/>
        <vertAlign val="subscript"/>
        <sz val="10"/>
        <color theme="1"/>
        <rFont val="Arial Narrow"/>
        <family val="2"/>
      </rPr>
      <t>2.5</t>
    </r>
  </si>
  <si>
    <r>
      <t>SO</t>
    </r>
    <r>
      <rPr>
        <b/>
        <vertAlign val="subscript"/>
        <sz val="10"/>
        <color theme="1"/>
        <rFont val="Arial Narrow"/>
        <family val="2"/>
      </rPr>
      <t>2</t>
    </r>
  </si>
  <si>
    <r>
      <t>NO</t>
    </r>
    <r>
      <rPr>
        <b/>
        <vertAlign val="subscript"/>
        <sz val="10"/>
        <color theme="1"/>
        <rFont val="Arial Narrow"/>
        <family val="2"/>
      </rPr>
      <t>x</t>
    </r>
  </si>
  <si>
    <t>Total HAPs</t>
  </si>
  <si>
    <r>
      <t>H</t>
    </r>
    <r>
      <rPr>
        <b/>
        <vertAlign val="subscript"/>
        <sz val="10"/>
        <color theme="1"/>
        <rFont val="Arial Narrow"/>
        <family val="2"/>
      </rPr>
      <t>2</t>
    </r>
    <r>
      <rPr>
        <b/>
        <sz val="10"/>
        <color theme="1"/>
        <rFont val="Arial Narrow"/>
        <family val="2"/>
      </rPr>
      <t>S</t>
    </r>
  </si>
  <si>
    <t>lb/hr</t>
  </si>
  <si>
    <t>tpy</t>
  </si>
  <si>
    <t>Existing Slag Quenching / Handling</t>
  </si>
  <si>
    <t>Total (all)</t>
  </si>
  <si>
    <t>Table 4. Granulator Stack (Granulating Spray Boxes, Dewatering Drum, Slurry  Basin;  New Equipment-Future Emissions)</t>
  </si>
  <si>
    <t>Process Section:</t>
  </si>
  <si>
    <t>Granulating Spray Boxes</t>
  </si>
  <si>
    <t>Slag Throughput:</t>
  </si>
  <si>
    <t>tons/day; avg.</t>
  </si>
  <si>
    <t>ton/hr; avg.</t>
  </si>
  <si>
    <t>tons/year</t>
  </si>
  <si>
    <t>`</t>
  </si>
  <si>
    <t>Granulation Rate:</t>
  </si>
  <si>
    <t>Daily Production:</t>
  </si>
  <si>
    <t>tons/day</t>
  </si>
  <si>
    <t>Annual Production:</t>
  </si>
  <si>
    <t>Emissions</t>
  </si>
  <si>
    <r>
      <t>Pollutant</t>
    </r>
    <r>
      <rPr>
        <b/>
        <vertAlign val="superscript"/>
        <sz val="10"/>
        <color rgb="FF000000"/>
        <rFont val="Arial Narrow"/>
        <family val="2"/>
      </rPr>
      <t>1</t>
    </r>
  </si>
  <si>
    <t>Potential Emissions
(lb/hr)</t>
  </si>
  <si>
    <t>Potential Emissions
(tpy)</t>
  </si>
  <si>
    <t>Emission Factor</t>
  </si>
  <si>
    <t>Emission Factor Units</t>
  </si>
  <si>
    <t>Emission Factor Source</t>
  </si>
  <si>
    <t>Criteria Pollutants:</t>
  </si>
  <si>
    <t>Particulate Matter (PM)</t>
  </si>
  <si>
    <t>lb/ton slag</t>
  </si>
  <si>
    <t>Permit limit for similar operation - see attached permit excerpt for Ozinga Cement, Inc.</t>
  </si>
  <si>
    <r>
      <t>Particulate Matter &lt;10 microns (PM</t>
    </r>
    <r>
      <rPr>
        <vertAlign val="subscript"/>
        <sz val="10"/>
        <rFont val="Arial Narrow"/>
        <family val="2"/>
      </rPr>
      <t>10</t>
    </r>
    <r>
      <rPr>
        <sz val="10"/>
        <rFont val="Arial Narrow"/>
        <family val="2"/>
      </rPr>
      <t>)</t>
    </r>
  </si>
  <si>
    <r>
      <t>Particulate Matter &lt; 2.5 microns (PM</t>
    </r>
    <r>
      <rPr>
        <vertAlign val="subscript"/>
        <sz val="10"/>
        <rFont val="Arial Narrow"/>
        <family val="2"/>
      </rPr>
      <t>2.5</t>
    </r>
    <r>
      <rPr>
        <sz val="10"/>
        <rFont val="Arial Narrow"/>
        <family val="2"/>
      </rPr>
      <t>)</t>
    </r>
  </si>
  <si>
    <r>
      <t>Nitrogen Oxides (NO</t>
    </r>
    <r>
      <rPr>
        <vertAlign val="subscript"/>
        <sz val="10"/>
        <rFont val="Arial Narrow"/>
        <family val="2"/>
      </rPr>
      <t>x</t>
    </r>
    <r>
      <rPr>
        <sz val="10"/>
        <rFont val="Arial Narrow"/>
        <family val="2"/>
      </rPr>
      <t>)</t>
    </r>
  </si>
  <si>
    <t>Factor for slag granulator at Ozinga Cement, Inc.</t>
  </si>
  <si>
    <t>Carbon Monoxide (CO)</t>
  </si>
  <si>
    <t>Volatile Organic Compounds (VOC)</t>
  </si>
  <si>
    <r>
      <t>Sulfur Dioxide (SO</t>
    </r>
    <r>
      <rPr>
        <vertAlign val="subscript"/>
        <sz val="10"/>
        <rFont val="Arial Narrow"/>
        <family val="2"/>
      </rPr>
      <t>2</t>
    </r>
    <r>
      <rPr>
        <sz val="10"/>
        <rFont val="Arial Narrow"/>
        <family val="2"/>
      </rPr>
      <t>)</t>
    </r>
  </si>
  <si>
    <t>Project Engineering Estimate</t>
  </si>
  <si>
    <r>
      <t>Ammonia (NH</t>
    </r>
    <r>
      <rPr>
        <vertAlign val="subscript"/>
        <sz val="10"/>
        <rFont val="Arial Narrow"/>
        <family val="2"/>
      </rPr>
      <t>3</t>
    </r>
    <r>
      <rPr>
        <sz val="10"/>
        <rFont val="Arial Narrow"/>
        <family val="2"/>
      </rPr>
      <t>)</t>
    </r>
  </si>
  <si>
    <t>See foonote 1</t>
  </si>
  <si>
    <t>Hazardous Air Pollutants:</t>
  </si>
  <si>
    <t>Metal HAPs</t>
  </si>
  <si>
    <t>Antimony Compounds</t>
  </si>
  <si>
    <t>mg/kg (dry)</t>
  </si>
  <si>
    <t>Total Analysis - average of Blast Furnace Slag Analysis (July 2012, October 2012, December 2012). Applied composition to PM estimates from new process.</t>
  </si>
  <si>
    <t>Arsenic Compounds</t>
  </si>
  <si>
    <t>Beryllium Compounds</t>
  </si>
  <si>
    <t>Cadmium Compounds</t>
  </si>
  <si>
    <t>Chromium Compounds</t>
  </si>
  <si>
    <t>Cobalt Compounds</t>
  </si>
  <si>
    <t>Manganese Compounds</t>
  </si>
  <si>
    <t>Mercury Compounds</t>
  </si>
  <si>
    <t>Nickel Compounds</t>
  </si>
  <si>
    <t>Selenium Compounds</t>
  </si>
  <si>
    <t>Additional Pollutant</t>
  </si>
  <si>
    <r>
      <t>Hydrogen Sulfide (H</t>
    </r>
    <r>
      <rPr>
        <vertAlign val="subscript"/>
        <sz val="10"/>
        <rFont val="Arial Narrow"/>
        <family val="2"/>
      </rPr>
      <t>2</t>
    </r>
    <r>
      <rPr>
        <sz val="10"/>
        <rFont val="Arial Narrow"/>
        <family val="2"/>
      </rPr>
      <t>S)</t>
    </r>
  </si>
  <si>
    <r>
      <t>1. Ammonia emissions are tied to blast furnace operation (blast furnace gas and contact water flowrate) only. The project does not impact blast furnace operation, gas generation or the amount of water in contact with the gas. Also since the slag granulation process will use more river water make-up, which contains no ammonia emissions, there is no expected no change in NH</t>
    </r>
    <r>
      <rPr>
        <vertAlign val="subscript"/>
        <sz val="10"/>
        <color theme="1"/>
        <rFont val="Arial Narrow"/>
        <family val="2"/>
      </rPr>
      <t>3</t>
    </r>
    <r>
      <rPr>
        <sz val="10"/>
        <color theme="1"/>
        <rFont val="Arial Narrow"/>
        <family val="2"/>
      </rPr>
      <t>. As such, the same NH3 emission factor (lb/ton slag) from baseline period was assumed for future emissions as a conservative measure.  NH</t>
    </r>
    <r>
      <rPr>
        <vertAlign val="subscript"/>
        <sz val="10"/>
        <color theme="1"/>
        <rFont val="Arial Narrow"/>
        <family val="2"/>
      </rPr>
      <t>3</t>
    </r>
    <r>
      <rPr>
        <sz val="10"/>
        <color theme="1"/>
        <rFont val="Arial Narrow"/>
        <family val="2"/>
      </rPr>
      <t xml:space="preserve"> emissions increase due to differences in baseline versus projected actual throughputs. See Table 4a.</t>
    </r>
  </si>
  <si>
    <t>Table 4a. Slag Quenching (Existing Operations, Future Emissions)</t>
  </si>
  <si>
    <t>Slag Quenching</t>
  </si>
  <si>
    <t xml:space="preserve">ton/hr; avg. </t>
  </si>
  <si>
    <t>tons/day (annual avg.)</t>
  </si>
  <si>
    <t>Pollutant</t>
  </si>
  <si>
    <t>Factor for slag pit at Ozinga Cement, Inc. (see Attached calculation excerpt)</t>
  </si>
  <si>
    <r>
      <t>Based on ratio of past/site-specific future H</t>
    </r>
    <r>
      <rPr>
        <vertAlign val="subscript"/>
        <sz val="10"/>
        <color rgb="FF000000"/>
        <rFont val="Arial Narrow"/>
        <family val="2"/>
      </rPr>
      <t>2</t>
    </r>
    <r>
      <rPr>
        <sz val="10"/>
        <color indexed="8"/>
        <rFont val="Arial Narrow"/>
        <family val="2"/>
      </rPr>
      <t>S emission factors and site-specific future SO</t>
    </r>
    <r>
      <rPr>
        <vertAlign val="subscript"/>
        <sz val="10"/>
        <color rgb="FF000000"/>
        <rFont val="Arial Narrow"/>
        <family val="2"/>
      </rPr>
      <t>2</t>
    </r>
    <r>
      <rPr>
        <sz val="10"/>
        <color indexed="8"/>
        <rFont val="Arial Narrow"/>
        <family val="2"/>
      </rPr>
      <t xml:space="preserve"> emission factor</t>
    </r>
  </si>
  <si>
    <t>See footnote 1.</t>
  </si>
  <si>
    <t>Total Analysis - average of Blast Furnace Slag Analysis (July 2012, October 2012, December 2012).</t>
  </si>
  <si>
    <r>
      <t>H</t>
    </r>
    <r>
      <rPr>
        <vertAlign val="subscript"/>
        <sz val="10"/>
        <color rgb="FF000000"/>
        <rFont val="Arial Narrow"/>
        <family val="2"/>
      </rPr>
      <t>2</t>
    </r>
    <r>
      <rPr>
        <sz val="10"/>
        <color indexed="8"/>
        <rFont val="Arial Narrow"/>
        <family val="2"/>
      </rPr>
      <t>S emissions have only been reported for 2022 and 2023 operations based on best available information at the time. Research performed as result of the project has uncovered emission suggesting 0.21 lb/ton slag or greater . Baseline emission were recomputed using same emission factor as future  as a conservative measure.</t>
    </r>
  </si>
  <si>
    <t>1. Ammonia emissions factor based on emission factor derived during baseline period as follows:</t>
  </si>
  <si>
    <r>
      <t>No. 1 + 3 Blast Furnace Quench NH</t>
    </r>
    <r>
      <rPr>
        <vertAlign val="subscript"/>
        <sz val="10"/>
        <color theme="1"/>
        <rFont val="Arial Narrow"/>
        <family val="2"/>
      </rPr>
      <t>3</t>
    </r>
    <r>
      <rPr>
        <sz val="10"/>
        <color theme="1"/>
        <rFont val="Arial Narrow"/>
        <family val="2"/>
      </rPr>
      <t xml:space="preserve"> emissions:</t>
    </r>
  </si>
  <si>
    <t>tons</t>
  </si>
  <si>
    <t>Slag throughput in baseline:</t>
  </si>
  <si>
    <r>
      <t>Quench NH</t>
    </r>
    <r>
      <rPr>
        <vertAlign val="subscript"/>
        <sz val="10"/>
        <color theme="1"/>
        <rFont val="Arial Narrow"/>
        <family val="2"/>
      </rPr>
      <t>3</t>
    </r>
    <r>
      <rPr>
        <sz val="10"/>
        <color theme="1"/>
        <rFont val="Arial Narrow"/>
        <family val="2"/>
      </rPr>
      <t xml:space="preserve"> emissions factor:</t>
    </r>
  </si>
  <si>
    <t>lb/ton</t>
  </si>
  <si>
    <t>Table 5. Granulated Slag Handling (New Equipment, Future Emissions)</t>
  </si>
  <si>
    <t>Granulated Slag Handling (New Equipment)</t>
  </si>
  <si>
    <t># of Transfers (post drums):</t>
  </si>
  <si>
    <t>(transfer to drum belt conveyor, to reversible belt converyor, to storage bins or pile, loadout)</t>
  </si>
  <si>
    <t>Potential Emissions per Transfer
(lb/hr)</t>
  </si>
  <si>
    <t>Potential Emissions per Transfer
(tpy)</t>
  </si>
  <si>
    <t>Potential Emissions Total
(tpy)</t>
  </si>
  <si>
    <r>
      <t>Emission Factor</t>
    </r>
    <r>
      <rPr>
        <b/>
        <vertAlign val="superscript"/>
        <sz val="10"/>
        <color indexed="8"/>
        <rFont val="Arial Narrow"/>
        <family val="2"/>
      </rPr>
      <t>2</t>
    </r>
  </si>
  <si>
    <t>AP-42 Section 13.2.4</t>
  </si>
  <si>
    <t>Emission Factor for Drop Equation</t>
  </si>
  <si>
    <t>k =</t>
  </si>
  <si>
    <t>PM - (AP-42, Section 13.2.4, for Particle Size &lt; 30 um)</t>
  </si>
  <si>
    <r>
      <t>PM</t>
    </r>
    <r>
      <rPr>
        <vertAlign val="subscript"/>
        <sz val="10"/>
        <rFont val="Arial Narrow"/>
        <family val="2"/>
      </rPr>
      <t>10</t>
    </r>
    <r>
      <rPr>
        <sz val="10"/>
        <rFont val="Arial Narrow"/>
        <family val="2"/>
      </rPr>
      <t xml:space="preserve"> - (AP-42, Section 13.2.4, for Particle Size &lt; 10 um)</t>
    </r>
  </si>
  <si>
    <r>
      <t>PM</t>
    </r>
    <r>
      <rPr>
        <vertAlign val="subscript"/>
        <sz val="10"/>
        <rFont val="Arial Narrow"/>
        <family val="2"/>
      </rPr>
      <t>2.5</t>
    </r>
    <r>
      <rPr>
        <sz val="10"/>
        <rFont val="Arial Narrow"/>
        <family val="2"/>
      </rPr>
      <t xml:space="preserve"> - (AP-42, Section 13.2.4, for Particle Size &lt; 2.5 um)</t>
    </r>
  </si>
  <si>
    <t xml:space="preserve">Emission Factor  </t>
  </si>
  <si>
    <t>Type of Material</t>
  </si>
  <si>
    <t>Wind Speed</t>
  </si>
  <si>
    <t xml:space="preserve">Moisture  </t>
  </si>
  <si>
    <r>
      <t>PM</t>
    </r>
    <r>
      <rPr>
        <b/>
        <vertAlign val="subscript"/>
        <sz val="10"/>
        <rFont val="Arial Narrow"/>
        <family val="2"/>
      </rPr>
      <t xml:space="preserve">10 </t>
    </r>
  </si>
  <si>
    <r>
      <t>PM</t>
    </r>
    <r>
      <rPr>
        <b/>
        <vertAlign val="subscript"/>
        <sz val="10"/>
        <rFont val="Arial Narrow"/>
        <family val="2"/>
      </rPr>
      <t>2.5</t>
    </r>
  </si>
  <si>
    <r>
      <t>(mph)</t>
    </r>
    <r>
      <rPr>
        <b/>
        <vertAlign val="superscript"/>
        <sz val="10"/>
        <rFont val="Arial Narrow"/>
        <family val="2"/>
      </rPr>
      <t>1</t>
    </r>
  </si>
  <si>
    <t>(%)</t>
  </si>
  <si>
    <t>Uncontrolled</t>
  </si>
  <si>
    <t>(lb/ton)</t>
  </si>
  <si>
    <t>Slag</t>
  </si>
  <si>
    <t>1.  Wind speed data obtained from National Climatic Data Center for Pittsburgh/Allegheny County region for 2012 (consistent with EI reporting practices).</t>
  </si>
  <si>
    <t>2. Moisture content is based on engineering estimates per project design.</t>
  </si>
  <si>
    <t>Table 5a. Slag Pit Existing Material Handling Emissions (Existing Operations, Future Emissions)</t>
  </si>
  <si>
    <t>Existing Slag Pit Material Handling Emissions</t>
  </si>
  <si>
    <t xml:space="preserve">Emissions </t>
  </si>
  <si>
    <t>AP-42/EI Factor</t>
  </si>
  <si>
    <t>Table 6a. Paved Roads Emissions (Post Project Future Emissions)</t>
  </si>
  <si>
    <t>TSP</t>
  </si>
  <si>
    <t>Road</t>
  </si>
  <si>
    <t>Control</t>
  </si>
  <si>
    <t>Controlled</t>
  </si>
  <si>
    <t>Traffic</t>
  </si>
  <si>
    <t>Efficiency</t>
  </si>
  <si>
    <t>Vehicle Type</t>
  </si>
  <si>
    <t>k</t>
  </si>
  <si>
    <t>sL</t>
  </si>
  <si>
    <t>W</t>
  </si>
  <si>
    <t>E</t>
  </si>
  <si>
    <t>(VMT/yr)</t>
  </si>
  <si>
    <t>(lb/yr)</t>
  </si>
  <si>
    <t>(ton/yr)</t>
  </si>
  <si>
    <t>(lb/VMT)</t>
  </si>
  <si>
    <t>A</t>
  </si>
  <si>
    <t>B</t>
  </si>
  <si>
    <t>C</t>
  </si>
  <si>
    <t>D</t>
  </si>
  <si>
    <t>Slagaway Haulers (Loaded)</t>
  </si>
  <si>
    <t>Slagaway Haulers (Unloaded)</t>
  </si>
  <si>
    <t>Total</t>
  </si>
  <si>
    <t>Table 6b. Unpaved Roads Emissions (Post Project Future Emissions)</t>
  </si>
  <si>
    <t>s</t>
  </si>
  <si>
    <t>a</t>
  </si>
  <si>
    <t>b</t>
  </si>
  <si>
    <t>Notes:</t>
  </si>
  <si>
    <t>For paved roads, emission estimation equation is from AP-42, Fifth Edition, Section 13.2.1 (January 2011) for industrial paved roads.</t>
  </si>
  <si>
    <r>
      <t>E = k (sL)</t>
    </r>
    <r>
      <rPr>
        <vertAlign val="superscript"/>
        <sz val="10"/>
        <rFont val="Arial Narrow"/>
        <family val="2"/>
      </rPr>
      <t>0.91</t>
    </r>
    <r>
      <rPr>
        <sz val="10"/>
        <rFont val="Arial Narrow"/>
        <family val="2"/>
      </rPr>
      <t xml:space="preserve"> (W)</t>
    </r>
    <r>
      <rPr>
        <vertAlign val="superscript"/>
        <sz val="10"/>
        <rFont val="Arial Narrow"/>
        <family val="2"/>
      </rPr>
      <t>1.02</t>
    </r>
    <r>
      <rPr>
        <sz val="10"/>
        <rFont val="Arial Narrow"/>
        <family val="2"/>
      </rPr>
      <t>, where:</t>
    </r>
  </si>
  <si>
    <t>E = particulate emission factor (lb/VMT)</t>
  </si>
  <si>
    <t>k = base emission factor for particle size range and units of interest.  From Table 13.2.1-1, the base</t>
  </si>
  <si>
    <t xml:space="preserve">       emission factors are 0.011 lb/VMT (TSP), 0.0022 lb/VMT (PM10), and 0.00054 lb VMT for PM2.5.</t>
  </si>
  <si>
    <r>
      <t>sL = road surface silt loading (g/m</t>
    </r>
    <r>
      <rPr>
        <vertAlign val="superscript"/>
        <sz val="10"/>
        <rFont val="Arial Narrow"/>
        <family val="2"/>
      </rPr>
      <t>2</t>
    </r>
    <r>
      <rPr>
        <sz val="10"/>
        <rFont val="Arial Narrow"/>
        <family val="2"/>
      </rPr>
      <t>), value obtained from AP-42 Background Information Document.</t>
    </r>
  </si>
  <si>
    <t>W = average weight (tons) of the vehicles traveling the road</t>
  </si>
  <si>
    <t>For unpaved roads, emission estimation equation is from AP-42, Fifth Edition, Section 13.2.2 for industrial unpaved roads (November 2006).</t>
  </si>
  <si>
    <r>
      <t>E = k (s/12)</t>
    </r>
    <r>
      <rPr>
        <vertAlign val="superscript"/>
        <sz val="10"/>
        <rFont val="Arial Narrow"/>
        <family val="2"/>
      </rPr>
      <t>a</t>
    </r>
    <r>
      <rPr>
        <sz val="10"/>
        <rFont val="Arial Narrow"/>
        <family val="2"/>
      </rPr>
      <t xml:space="preserve"> (W/3)</t>
    </r>
    <r>
      <rPr>
        <vertAlign val="superscript"/>
        <sz val="10"/>
        <rFont val="Arial Narrow"/>
        <family val="2"/>
      </rPr>
      <t>b</t>
    </r>
    <r>
      <rPr>
        <sz val="10"/>
        <rFont val="Arial Narrow"/>
        <family val="2"/>
      </rPr>
      <t>, where:</t>
    </r>
  </si>
  <si>
    <t>k, a, b = empirical constants from Table 13.2.2-2</t>
  </si>
  <si>
    <t>s = silt content of road surface material (%)[slag silt content used in inventories for site]</t>
  </si>
  <si>
    <t>W = mean vehicle weight (ton)</t>
  </si>
  <si>
    <t xml:space="preserve">A:  Information obtained from USS personnel.  </t>
  </si>
  <si>
    <t>Note that this takes into account</t>
  </si>
  <si>
    <t>of slag being hauled out by rail.</t>
  </si>
  <si>
    <t>B = (Particulate Emission Factor E) * A</t>
  </si>
  <si>
    <t>C = B / (2000 lb/ton)</t>
  </si>
  <si>
    <t>D:  Control efficiency attributed to sweeping and chemical suppression, per ACHD.</t>
  </si>
  <si>
    <t>E = C * ((100 - D) / 100)</t>
  </si>
  <si>
    <t>Slag Material Moved:</t>
  </si>
  <si>
    <t>Miles Per Trip:</t>
  </si>
  <si>
    <t>miles each way/trip</t>
  </si>
  <si>
    <t>Load per Trip:</t>
  </si>
  <si>
    <t>tons/truck</t>
  </si>
  <si>
    <t># Trips:</t>
  </si>
  <si>
    <t>trips/year</t>
  </si>
  <si>
    <t>% Truck</t>
  </si>
  <si>
    <t>(conservatively set at all out via truck)</t>
  </si>
  <si>
    <t>% Rail</t>
  </si>
  <si>
    <t>Paved per Trip:</t>
  </si>
  <si>
    <t>miles/trip</t>
  </si>
  <si>
    <t>distances provided by U. S. Steel</t>
  </si>
  <si>
    <t>Unpaved per Trip:</t>
  </si>
  <si>
    <t>Paved miles per year:</t>
  </si>
  <si>
    <t>miles/year</t>
  </si>
  <si>
    <t>(each way)</t>
  </si>
  <si>
    <t>Unpaved miles per year:</t>
  </si>
  <si>
    <t>Table 7. Granulated Slag Storage Piles (New Pile, Future Emissions)</t>
  </si>
  <si>
    <t>Emission</t>
  </si>
  <si>
    <r>
      <t>PM</t>
    </r>
    <r>
      <rPr>
        <vertAlign val="subscript"/>
        <sz val="10"/>
        <rFont val="Arial Narrow"/>
        <family val="2"/>
      </rPr>
      <t>10</t>
    </r>
  </si>
  <si>
    <r>
      <t>PM</t>
    </r>
    <r>
      <rPr>
        <vertAlign val="subscript"/>
        <sz val="10"/>
        <rFont val="Arial Narrow"/>
        <family val="2"/>
      </rPr>
      <t>2.5</t>
    </r>
  </si>
  <si>
    <t>Area</t>
  </si>
  <si>
    <t>Factor</t>
  </si>
  <si>
    <t>Fraction</t>
  </si>
  <si>
    <r>
      <t>(ft</t>
    </r>
    <r>
      <rPr>
        <vertAlign val="superscript"/>
        <sz val="10"/>
        <rFont val="Arial Narrow"/>
        <family val="2"/>
      </rPr>
      <t>2</t>
    </r>
    <r>
      <rPr>
        <sz val="10"/>
        <rFont val="Arial Narrow"/>
        <family val="2"/>
      </rPr>
      <t>)</t>
    </r>
  </si>
  <si>
    <t>(acre)</t>
  </si>
  <si>
    <t>(lb/day/acre)</t>
  </si>
  <si>
    <t>(lb/day)</t>
  </si>
  <si>
    <t>(tons/yr)</t>
  </si>
  <si>
    <t>(wt%)</t>
  </si>
  <si>
    <t>F</t>
  </si>
  <si>
    <t>G</t>
  </si>
  <si>
    <t>H</t>
  </si>
  <si>
    <t>I</t>
  </si>
  <si>
    <t>J</t>
  </si>
  <si>
    <t>Notes (Method consistent with Emissions Inventory Practices):</t>
  </si>
  <si>
    <t>A:  Approximate area covered by storage piles; per project engineering</t>
  </si>
  <si>
    <t>B = A / (43,560 sq.ft/acre)</t>
  </si>
  <si>
    <t>C:  E = 1.7 * (s / 1.5) * ((365 - p) / 235) * (f / 15)</t>
  </si>
  <si>
    <t xml:space="preserve">     where E = uncontrolled emission factor (lb/day/acre)</t>
  </si>
  <si>
    <t xml:space="preserve">               s = % silt = 5.3% for slag.</t>
  </si>
  <si>
    <t xml:space="preserve">               p = number of days when precipitation greater than or equal to 0.01" = 160 days (AP-42, 5th Ed., Fig. 13.2.2-1).</t>
  </si>
  <si>
    <t xml:space="preserve">               f = % time when wind speed exceeds 12 mph = 20 (West Virginia Office of Air Quality; EI reporting practices).</t>
  </si>
  <si>
    <t xml:space="preserve">     Equation is from 'Air Pollution Engineering Manual', Air and Waste Management Association, 1992 (page 136, Chapter 4, Fugitive Emissions).</t>
  </si>
  <si>
    <t>D = B * C</t>
  </si>
  <si>
    <t>E = D * 365 days/yr</t>
  </si>
  <si>
    <t>F = E / (2000 lb/ton)</t>
  </si>
  <si>
    <t>G:  Information obtained from particle size distribution for aggregate handling (AP-42 Section 13.2.4), November 2006.</t>
  </si>
  <si>
    <t>H = F * (G / 100)</t>
  </si>
  <si>
    <t>I:  Information obtained from particle size distribution for aggregate handling (AP-42 Section 13.2.4), November 2006.</t>
  </si>
  <si>
    <t>J = F * (I / 100)</t>
  </si>
  <si>
    <t>Table 8a. Baseline Actual Emissions (Slag Quench and Handling, Part 1)</t>
  </si>
  <si>
    <t>Monthly Emissions (tons)</t>
  </si>
  <si>
    <t>24-Month Annual Avg. Emissions (tons)</t>
  </si>
  <si>
    <t>Year</t>
  </si>
  <si>
    <t>Month</t>
  </si>
  <si>
    <t>Annual Slag (tpy)</t>
  </si>
  <si>
    <t>No. 1 BF Iron Prod. (t/month)</t>
  </si>
  <si>
    <t>No. 3 BF Iron Prod. (t/month)</t>
  </si>
  <si>
    <t>Slag (t/month)</t>
  </si>
  <si>
    <r>
      <t>NH</t>
    </r>
    <r>
      <rPr>
        <b/>
        <vertAlign val="subscript"/>
        <sz val="9"/>
        <color rgb="FF000000"/>
        <rFont val="Arial Narrow"/>
        <family val="2"/>
      </rPr>
      <t>3</t>
    </r>
    <r>
      <rPr>
        <b/>
        <sz val="9"/>
        <color rgb="FF000000"/>
        <rFont val="Arial Narrow"/>
        <family val="2"/>
      </rPr>
      <t xml:space="preserve">
(lbs)</t>
    </r>
  </si>
  <si>
    <r>
      <t>NH</t>
    </r>
    <r>
      <rPr>
        <b/>
        <vertAlign val="subscript"/>
        <sz val="9"/>
        <color rgb="FF000000"/>
        <rFont val="Arial Narrow"/>
        <family val="2"/>
      </rPr>
      <t>3</t>
    </r>
  </si>
  <si>
    <t>January</t>
  </si>
  <si>
    <t>February</t>
  </si>
  <si>
    <t>March</t>
  </si>
  <si>
    <t>April</t>
  </si>
  <si>
    <t>May</t>
  </si>
  <si>
    <t>June</t>
  </si>
  <si>
    <t>July</t>
  </si>
  <si>
    <t>August</t>
  </si>
  <si>
    <t>September</t>
  </si>
  <si>
    <t>October</t>
  </si>
  <si>
    <t>November</t>
  </si>
  <si>
    <t>December</t>
  </si>
  <si>
    <t>Emission Factor (lb/ton slag)</t>
  </si>
  <si>
    <t>Basis</t>
  </si>
  <si>
    <r>
      <t>H</t>
    </r>
    <r>
      <rPr>
        <vertAlign val="subscript"/>
        <sz val="9"/>
        <color theme="1"/>
        <rFont val="Arial Narrow"/>
        <family val="2"/>
      </rPr>
      <t>2</t>
    </r>
    <r>
      <rPr>
        <sz val="9"/>
        <color theme="1"/>
        <rFont val="Arial Narrow"/>
        <family val="2"/>
      </rPr>
      <t>S</t>
    </r>
  </si>
  <si>
    <r>
      <t>H</t>
    </r>
    <r>
      <rPr>
        <vertAlign val="subscript"/>
        <sz val="9"/>
        <color theme="1"/>
        <rFont val="Arial Narrow"/>
        <family val="2"/>
      </rPr>
      <t>2</t>
    </r>
    <r>
      <rPr>
        <sz val="9"/>
        <color theme="1"/>
        <rFont val="Arial Narrow"/>
        <family val="2"/>
      </rPr>
      <t>S emissions have only been reported for 2022 and 2023 operations based on best available information at the time. Slag granulator vendor pointed U. S. Steel to studies from Germany in 1991 of H2S emissions from the slag pits. The emissions are equivalent to 0.21 lb H2S per ton slag.</t>
    </r>
  </si>
  <si>
    <t>AP-42/EI reporting for Material Handling</t>
  </si>
  <si>
    <r>
      <t>PM</t>
    </r>
    <r>
      <rPr>
        <vertAlign val="subscript"/>
        <sz val="9"/>
        <color theme="1"/>
        <rFont val="Arial Narrow"/>
        <family val="2"/>
      </rPr>
      <t>10</t>
    </r>
  </si>
  <si>
    <r>
      <t>PM</t>
    </r>
    <r>
      <rPr>
        <vertAlign val="subscript"/>
        <sz val="9"/>
        <color theme="1"/>
        <rFont val="Arial Narrow"/>
        <family val="2"/>
      </rPr>
      <t>2.5</t>
    </r>
  </si>
  <si>
    <t>Table 8b. Baseline Actual Emissions (Slag Quench and Handling, Part 2)</t>
  </si>
  <si>
    <t>Blast Furnace 1</t>
  </si>
  <si>
    <t>Blast Furnace 3</t>
  </si>
  <si>
    <t>Total Slag (t/month)</t>
  </si>
  <si>
    <t>Days</t>
  </si>
  <si>
    <t>Slag (tons)</t>
  </si>
  <si>
    <r>
      <t>SO</t>
    </r>
    <r>
      <rPr>
        <vertAlign val="subscript"/>
        <sz val="9"/>
        <color theme="1"/>
        <rFont val="Arial Narrow"/>
        <family val="2"/>
      </rPr>
      <t>2</t>
    </r>
  </si>
  <si>
    <r>
      <t>Based on future SO</t>
    </r>
    <r>
      <rPr>
        <vertAlign val="subscript"/>
        <sz val="9"/>
        <color theme="1"/>
        <rFont val="Arial Narrow"/>
        <family val="2"/>
      </rPr>
      <t>2</t>
    </r>
    <r>
      <rPr>
        <sz val="9"/>
        <color theme="1"/>
        <rFont val="Arial Narrow"/>
        <family val="2"/>
      </rPr>
      <t xml:space="preserve"> factor and past/future H</t>
    </r>
    <r>
      <rPr>
        <vertAlign val="subscript"/>
        <sz val="9"/>
        <color theme="1"/>
        <rFont val="Arial Narrow"/>
        <family val="2"/>
      </rPr>
      <t>2</t>
    </r>
    <r>
      <rPr>
        <sz val="9"/>
        <color theme="1"/>
        <rFont val="Arial Narrow"/>
        <family val="2"/>
      </rPr>
      <t>S factor</t>
    </r>
  </si>
  <si>
    <t>Not historically reported.  Based on slag pit emission factors in baseline emissions calculations for Ozingo Cement granulator project (filed May 26, 2023).</t>
  </si>
  <si>
    <t>mg/kg (dry) [Total Analysis - average of Blast Furnace Slag Analysis (July 2012, October 2012, December 2012).]</t>
  </si>
  <si>
    <t>Table 9. Baseline Actual Emissions (Roadway Emissions)</t>
  </si>
  <si>
    <r>
      <t>Monthly Emissions (tons)</t>
    </r>
    <r>
      <rPr>
        <b/>
        <vertAlign val="superscript"/>
        <sz val="10"/>
        <rFont val="Arial Narrow"/>
        <family val="2"/>
      </rPr>
      <t>1</t>
    </r>
  </si>
  <si>
    <t>Mapping</t>
  </si>
  <si>
    <t>Name</t>
  </si>
  <si>
    <t>Paved</t>
  </si>
  <si>
    <t>Unpaved</t>
  </si>
  <si>
    <t>K15</t>
  </si>
  <si>
    <t>M47</t>
  </si>
  <si>
    <t>K24</t>
  </si>
  <si>
    <t>M58</t>
  </si>
  <si>
    <t>K33</t>
  </si>
  <si>
    <t>M69</t>
  </si>
  <si>
    <t>1. Annual reported emissions from roadways associated with slagaway haulers were allocated by month based on slag throughputs.</t>
  </si>
  <si>
    <t>A:  Information obtained from USS personnel.  Slagaway Haulers travel on road that is paved and unpaved in areas; 0.795 mile is paved/controlled, 0.06 mile is unpaved/uncontrolled,</t>
  </si>
  <si>
    <t xml:space="preserve"> which is the average distance a truck would be hauled from BF1 and BF3. </t>
  </si>
  <si>
    <t>Table 10a. Paved Roads Emissions (2019 Actuals)</t>
  </si>
  <si>
    <t>Table 10b. Unpaved Roads Emissions (2019 Actuals)</t>
  </si>
  <si>
    <t>Table 11a. Paved Roads Emissions (2020 Actuals)</t>
  </si>
  <si>
    <t>Table 11b. Unpaved Roads Emissions (2020 Actuals)</t>
  </si>
  <si>
    <t>Table 12a. Paved Roads Emissions (2021 Actuals)</t>
  </si>
  <si>
    <t>Table 12b. Unpaved Roads Emissions (2021 Actuals)</t>
  </si>
  <si>
    <t>New Equipment Only</t>
  </si>
  <si>
    <r>
      <t>4. Ammonia emissions are tied to operations at the blast furnace (blast furnace gas and contact water flowrate) only. The project does not impact blast furnace operations, gas generation, or the amount of water in contact with the gas. Also, since the slag granulation process will use more river water make-up, which contains no ammonia emissions, there is no expected change in NH</t>
    </r>
    <r>
      <rPr>
        <vertAlign val="subscript"/>
        <sz val="10"/>
        <rFont val="Arial Narrow"/>
        <family val="2"/>
      </rPr>
      <t>3</t>
    </r>
    <r>
      <rPr>
        <sz val="10"/>
        <rFont val="Arial Narrow"/>
        <family val="2"/>
      </rPr>
      <t>.</t>
    </r>
  </si>
  <si>
    <t>Slag Recycler Project</t>
  </si>
  <si>
    <t>Table 1. Slag Recycler Project Emissions Summary (Step 1 NSR Evaluation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</si>
</sst>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
    <numFmt numFmtId="165" formatCode="0.000"/>
    <numFmt numFmtId="166" formatCode="#,##0.0"/>
    <numFmt numFmtId="167" formatCode="#,##0.000"/>
    <numFmt numFmtId="168" formatCode="0.0000"/>
    <numFmt numFmtId="169" formatCode="[$-409]mmmm\-yy;@"/>
    <numFmt numFmtId="170" formatCode="General_)"/>
    <numFmt numFmtId="171" formatCode="0.0%"/>
    <numFmt numFmtId="172" formatCode="#,##0.0_);\(#,##0.0\)"/>
    <numFmt numFmtId="173" formatCode="#,##0.00\ &quot;F&quot;;[Red]\-#,##0.00\ &quot;F&quot;"/>
    <numFmt numFmtId="174" formatCode="000,000"/>
    <numFmt numFmtId="175" formatCode="_([$€-2]* #,##0.00_);_([$€-2]* \(#,##0.00\);_([$€-2]* &quot;-&quot;??_)"/>
    <numFmt numFmtId="176" formatCode="###########################0.00##############;\-###########################0.00##############;0"/>
    <numFmt numFmtId="177" formatCode="0.0000000"/>
    <numFmt numFmtId="178" formatCode="m/d/yyyy\ h:mm\ AM/PM"/>
    <numFmt numFmtId="179" formatCode="_ * #,##0_ ;_ * \-#,##0_ ;_ * &quot;-&quot;_ ;_ @_ "/>
    <numFmt numFmtId="180" formatCode="#,##0.00&quot; $&quot;;\-#,##0.00&quot; $&quot;"/>
    <numFmt numFmtId="181" formatCode="_-* #,##0\ _$_-;\-* #,##0\ _$_-;_-* &quot;-&quot;\ _$_-;_-@_-"/>
    <numFmt numFmtId="182" formatCode="_-* #,##0\ &quot;$&quot;_-;\-* #,##0\ &quot;$&quot;_-;_-* &quot;-&quot;\ &quot;$&quot;_-;_-@_-"/>
    <numFmt numFmtId="183" formatCode="_-* #,##0.00\ &quot;$&quot;_-;\-* #,##0.00\ &quot;$&quot;_-;_-* &quot;-&quot;??\ &quot;$&quot;_-;_-@_-"/>
    <numFmt numFmtId="184" formatCode="0.00000"/>
    <numFmt numFmtId="185" formatCode="m/d/yy;@"/>
    <numFmt numFmtId="186" formatCode="#,##0.0000"/>
  </numFmts>
  <fonts count="99">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name val="MS Sans Serif"/>
      <family val="2"/>
    </font>
    <font>
      <b/>
      <sz val="10"/>
      <name val="Arial"/>
      <family val="2"/>
    </font>
    <font>
      <sz val="10"/>
      <name val="Arial"/>
      <family val="2"/>
    </font>
    <font>
      <sz val="10"/>
      <name val="Times New Roman"/>
      <family val="1"/>
    </font>
    <font>
      <sz val="10"/>
      <name val="Times New Roman"/>
      <family val="1"/>
    </font>
    <font>
      <sz val="12"/>
      <name val="Times New Roman"/>
      <family val="1"/>
    </font>
    <font>
      <sz val="12"/>
      <color indexed="12"/>
      <name val="Times New Roman"/>
      <family val="1"/>
    </font>
    <font>
      <b/>
      <sz val="10"/>
      <name val="MS Sans Serif"/>
      <family val="2"/>
    </font>
    <font>
      <b/>
      <sz val="18"/>
      <name val="Arial"/>
      <family val="2"/>
    </font>
    <font>
      <b/>
      <sz val="12"/>
      <name val="Arial"/>
      <family val="2"/>
    </font>
    <font>
      <sz val="8"/>
      <name val="Arial"/>
      <family val="2"/>
    </font>
    <font>
      <sz val="13"/>
      <name val="Tms Rmn"/>
    </font>
    <font>
      <sz val="10"/>
      <name val="Geneva"/>
    </font>
    <font>
      <sz val="10"/>
      <name val="Palatino"/>
      <family val="1"/>
    </font>
    <font>
      <b/>
      <sz val="13"/>
      <name val="Tms Rmn"/>
    </font>
    <font>
      <sz val="10"/>
      <name val="Arial Narrow"/>
      <family val="2"/>
    </font>
    <font>
      <sz val="11"/>
      <color indexed="8"/>
      <name val="Calibri"/>
      <family val="2"/>
    </font>
    <font>
      <sz val="10"/>
      <color indexed="8"/>
      <name val="Arial"/>
      <family val="2"/>
    </font>
    <font>
      <b/>
      <sz val="11"/>
      <name val="Arial"/>
      <family val="2"/>
    </font>
    <font>
      <sz val="12"/>
      <name val="Helv"/>
    </font>
    <font>
      <sz val="10"/>
      <name val="MS Serif"/>
      <family val="1"/>
    </font>
    <font>
      <sz val="10"/>
      <color indexed="16"/>
      <name val="MS Serif"/>
      <family val="1"/>
    </font>
    <font>
      <sz val="9"/>
      <name val="Helv"/>
    </font>
    <font>
      <b/>
      <u/>
      <sz val="11"/>
      <color indexed="37"/>
      <name val="Arial"/>
      <family val="2"/>
    </font>
    <font>
      <sz val="10"/>
      <color indexed="12"/>
      <name val="Arial"/>
      <family val="2"/>
    </font>
    <font>
      <sz val="7"/>
      <name val="Small Fonts"/>
      <family val="2"/>
    </font>
    <font>
      <sz val="12"/>
      <name val="Arial"/>
      <family val="2"/>
    </font>
    <font>
      <sz val="8"/>
      <color indexed="8"/>
      <name val="Arial"/>
      <family val="2"/>
    </font>
    <font>
      <b/>
      <sz val="8"/>
      <color indexed="8"/>
      <name val="Arial"/>
      <family val="2"/>
    </font>
    <font>
      <b/>
      <sz val="10"/>
      <color indexed="8"/>
      <name val="Arial"/>
      <family val="2"/>
    </font>
    <font>
      <b/>
      <sz val="12"/>
      <color indexed="8"/>
      <name val="Arial"/>
      <family val="2"/>
    </font>
    <font>
      <sz val="8"/>
      <name val="Helv"/>
    </font>
    <font>
      <b/>
      <sz val="8"/>
      <color indexed="8"/>
      <name val="Helv"/>
    </font>
    <font>
      <sz val="8"/>
      <color indexed="12"/>
      <name val="Arial"/>
      <family val="2"/>
    </font>
    <font>
      <sz val="10"/>
      <color theme="1"/>
      <name val="Times New Roman"/>
      <family val="2"/>
    </font>
    <font>
      <sz val="10"/>
      <color rgb="FF000000"/>
      <name val="Times New Roman"/>
      <family val="1"/>
    </font>
    <font>
      <sz val="10"/>
      <name val="Tms Rmn"/>
    </font>
    <font>
      <sz val="8"/>
      <color rgb="FF000000"/>
      <name val="Arial"/>
      <family val="2"/>
    </font>
    <font>
      <b/>
      <sz val="10"/>
      <name val="Arial Narrow"/>
      <family val="2"/>
    </font>
    <font>
      <b/>
      <u/>
      <sz val="10"/>
      <name val="Arial Narrow"/>
      <family val="2"/>
    </font>
    <font>
      <b/>
      <sz val="10"/>
      <color indexed="10"/>
      <name val="Arial Narrow"/>
      <family val="2"/>
    </font>
    <font>
      <sz val="10"/>
      <color rgb="FFFF0000"/>
      <name val="Arial Narrow"/>
      <family val="2"/>
    </font>
    <font>
      <sz val="9"/>
      <name val="Arial Narrow"/>
      <family val="2"/>
    </font>
    <font>
      <sz val="10"/>
      <color theme="1"/>
      <name val="Arial Narrow"/>
      <family val="2"/>
    </font>
    <font>
      <b/>
      <sz val="10"/>
      <color rgb="FF0070C0"/>
      <name val="Arial Narrow"/>
      <family val="2"/>
    </font>
    <font>
      <b/>
      <sz val="10"/>
      <color rgb="FFFF0000"/>
      <name val="Arial Narrow"/>
      <family val="2"/>
    </font>
    <font>
      <b/>
      <i/>
      <sz val="10"/>
      <color indexed="10"/>
      <name val="Arial Narrow"/>
      <family val="2"/>
    </font>
    <font>
      <sz val="10"/>
      <color indexed="8"/>
      <name val="Arial Narrow"/>
      <family val="2"/>
    </font>
    <font>
      <b/>
      <sz val="10"/>
      <color indexed="8"/>
      <name val="Arial Narrow"/>
      <family val="2"/>
    </font>
    <font>
      <b/>
      <sz val="10"/>
      <color theme="1"/>
      <name val="Arial Narrow"/>
      <family val="2"/>
    </font>
    <font>
      <b/>
      <i/>
      <u/>
      <sz val="10"/>
      <color indexed="10"/>
      <name val="Arial Narrow"/>
      <family val="2"/>
    </font>
    <font>
      <u/>
      <sz val="10"/>
      <color indexed="8"/>
      <name val="Arial Narrow"/>
      <family val="2"/>
    </font>
    <font>
      <vertAlign val="subscript"/>
      <sz val="10"/>
      <name val="Arial Narrow"/>
      <family val="2"/>
    </font>
    <font>
      <u/>
      <sz val="10"/>
      <name val="Arial Narrow"/>
      <family val="2"/>
    </font>
    <font>
      <b/>
      <u/>
      <sz val="10"/>
      <color theme="1"/>
      <name val="Arial Narrow"/>
      <family val="2"/>
    </font>
    <font>
      <b/>
      <i/>
      <sz val="10"/>
      <name val="Arial Narrow"/>
      <family val="2"/>
    </font>
    <font>
      <vertAlign val="superscript"/>
      <sz val="10"/>
      <name val="Arial Narrow"/>
      <family val="2"/>
    </font>
    <font>
      <b/>
      <sz val="9"/>
      <color rgb="FF000000"/>
      <name val="Arial Narrow"/>
      <family val="2"/>
    </font>
    <font>
      <sz val="9"/>
      <color theme="1"/>
      <name val="Arial Narrow"/>
      <family val="2"/>
    </font>
    <font>
      <b/>
      <vertAlign val="superscript"/>
      <sz val="10"/>
      <color indexed="8"/>
      <name val="Arial Narrow"/>
      <family val="2"/>
    </font>
    <font>
      <sz val="10"/>
      <color indexed="10"/>
      <name val="Arial Narrow"/>
      <family val="2"/>
    </font>
    <font>
      <b/>
      <vertAlign val="subscript"/>
      <sz val="10"/>
      <name val="Arial Narrow"/>
      <family val="2"/>
    </font>
    <font>
      <b/>
      <vertAlign val="superscript"/>
      <sz val="10"/>
      <name val="Arial Narrow"/>
      <family val="2"/>
    </font>
    <font>
      <b/>
      <i/>
      <u/>
      <sz val="10"/>
      <color rgb="FFFF0000"/>
      <name val="Arial Narrow"/>
      <family val="2"/>
    </font>
    <font>
      <b/>
      <vertAlign val="subscript"/>
      <sz val="10"/>
      <color theme="1"/>
      <name val="Arial Narrow"/>
      <family val="2"/>
    </font>
    <font>
      <i/>
      <sz val="10"/>
      <color theme="1"/>
      <name val="Arial Narrow"/>
      <family val="2"/>
    </font>
    <font>
      <b/>
      <sz val="10"/>
      <color rgb="FFC00000"/>
      <name val="Arial Narrow"/>
      <family val="2"/>
    </font>
    <font>
      <b/>
      <sz val="9"/>
      <color rgb="FF0070C0"/>
      <name val="Arial Narrow"/>
      <family val="2"/>
    </font>
    <font>
      <b/>
      <u/>
      <sz val="9"/>
      <color theme="1"/>
      <name val="Arial Narrow"/>
      <family val="2"/>
    </font>
    <font>
      <b/>
      <sz val="9"/>
      <color rgb="FFFF0000"/>
      <name val="Arial Narrow"/>
      <family val="2"/>
    </font>
    <font>
      <b/>
      <sz val="9"/>
      <color theme="1"/>
      <name val="Arial Narrow"/>
      <family val="2"/>
    </font>
    <font>
      <b/>
      <vertAlign val="subscript"/>
      <sz val="9"/>
      <color rgb="FF000000"/>
      <name val="Arial Narrow"/>
      <family val="2"/>
    </font>
    <font>
      <sz val="9"/>
      <color rgb="FF000000"/>
      <name val="Arial Narrow"/>
      <family val="2"/>
    </font>
    <font>
      <b/>
      <sz val="10"/>
      <color theme="3"/>
      <name val="Arial Narrow"/>
      <family val="2"/>
    </font>
    <font>
      <b/>
      <i/>
      <sz val="10"/>
      <color rgb="FFFF0000"/>
      <name val="Arial Narrow"/>
      <family val="2"/>
    </font>
    <font>
      <b/>
      <sz val="12"/>
      <color rgb="FFFF0000"/>
      <name val="Arial Narrow"/>
      <family val="2"/>
    </font>
    <font>
      <b/>
      <vertAlign val="superscript"/>
      <sz val="10"/>
      <color rgb="FF000000"/>
      <name val="Arial Narrow"/>
      <family val="2"/>
    </font>
    <font>
      <vertAlign val="subscript"/>
      <sz val="10"/>
      <color theme="1"/>
      <name val="Arial Narrow"/>
      <family val="2"/>
    </font>
    <font>
      <vertAlign val="subscript"/>
      <sz val="10"/>
      <color rgb="FF000000"/>
      <name val="Arial Narrow"/>
      <family val="2"/>
    </font>
    <font>
      <vertAlign val="subscript"/>
      <sz val="9"/>
      <color theme="1"/>
      <name val="Arial Narrow"/>
      <family val="2"/>
    </font>
    <font>
      <sz val="7.5"/>
      <color rgb="FFFF0000"/>
      <name val="Courier New"/>
      <family val="3"/>
    </font>
  </fonts>
  <fills count="18">
    <fill>
      <patternFill patternType="none"/>
    </fill>
    <fill>
      <patternFill patternType="gray125"/>
    </fill>
    <fill>
      <patternFill patternType="solid">
        <fgColor theme="0" tint="-0.14999847407452621"/>
        <bgColor indexed="64"/>
      </patternFill>
    </fill>
    <fill>
      <patternFill patternType="solid">
        <fgColor indexed="43"/>
        <bgColor indexed="64"/>
      </patternFill>
    </fill>
    <fill>
      <patternFill patternType="solid">
        <fgColor indexed="22"/>
        <bgColor indexed="64"/>
      </patternFill>
    </fill>
    <fill>
      <patternFill patternType="solid">
        <fgColor indexed="26"/>
        <bgColor indexed="64"/>
      </patternFill>
    </fill>
    <fill>
      <patternFill patternType="solid">
        <fgColor indexed="22"/>
        <bgColor indexed="9"/>
      </patternFill>
    </fill>
    <fill>
      <patternFill patternType="solid">
        <fgColor indexed="44"/>
        <bgColor indexed="64"/>
      </patternFill>
    </fill>
    <fill>
      <patternFill patternType="solid">
        <fgColor indexed="57"/>
        <bgColor indexed="63"/>
      </patternFill>
    </fill>
    <fill>
      <patternFill patternType="solid">
        <fgColor indexed="59"/>
        <bgColor indexed="63"/>
      </patternFill>
    </fill>
    <fill>
      <patternFill patternType="solid">
        <fgColor indexed="62"/>
        <bgColor indexed="63"/>
      </patternFill>
    </fill>
    <fill>
      <patternFill patternType="solid">
        <fgColor indexed="61"/>
        <bgColor indexed="63"/>
      </patternFill>
    </fill>
    <fill>
      <patternFill patternType="solid">
        <fgColor indexed="60"/>
        <bgColor indexed="63"/>
      </patternFill>
    </fill>
    <fill>
      <patternFill patternType="mediumGray">
        <fgColor indexed="22"/>
      </patternFill>
    </fill>
    <fill>
      <patternFill patternType="solid">
        <fgColor rgb="FFFFFFFF"/>
        <bgColor indexed="64"/>
      </patternFill>
    </fill>
    <fill>
      <patternFill patternType="lightGray"/>
    </fill>
    <fill>
      <patternFill patternType="solid">
        <fgColor theme="0" tint="-0.14996795556505021"/>
        <bgColor indexed="64"/>
      </patternFill>
    </fill>
    <fill>
      <patternFill patternType="solid">
        <fgColor rgb="FF00B0F0"/>
        <bgColor indexed="64"/>
      </patternFill>
    </fill>
  </fills>
  <borders count="8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medium">
        <color indexed="64"/>
      </right>
      <top/>
      <bottom/>
      <diagonal/>
    </border>
    <border>
      <left/>
      <right style="medium">
        <color indexed="64"/>
      </right>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dotted">
        <color indexed="64"/>
      </bottom>
      <diagonal/>
    </border>
    <border>
      <left/>
      <right style="medium">
        <color indexed="64"/>
      </right>
      <top/>
      <bottom style="dotted">
        <color indexed="64"/>
      </bottom>
      <diagonal/>
    </border>
    <border>
      <left/>
      <right/>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diagonal/>
    </border>
    <border>
      <left style="medium">
        <color indexed="64"/>
      </left>
      <right/>
      <top style="dotted">
        <color indexed="64"/>
      </top>
      <bottom/>
      <diagonal/>
    </border>
    <border>
      <left/>
      <right/>
      <top style="dotted">
        <color indexed="64"/>
      </top>
      <bottom style="dotted">
        <color indexed="64"/>
      </bottom>
      <diagonal/>
    </border>
    <border>
      <left/>
      <right/>
      <top style="dotted">
        <color indexed="64"/>
      </top>
      <bottom/>
      <diagonal/>
    </border>
    <border>
      <left/>
      <right/>
      <top style="medium">
        <color indexed="64"/>
      </top>
      <bottom style="medium">
        <color indexed="64"/>
      </bottom>
      <diagonal/>
    </border>
    <border>
      <left/>
      <right/>
      <top style="double">
        <color indexed="64"/>
      </top>
      <bottom style="thin">
        <color indexed="64"/>
      </bottom>
      <diagonal/>
    </border>
    <border>
      <left/>
      <right/>
      <top style="double">
        <color indexed="0"/>
      </top>
      <bottom/>
      <diagonal/>
    </border>
    <border>
      <left style="medium">
        <color indexed="64"/>
      </left>
      <right style="medium">
        <color indexed="64"/>
      </right>
      <top style="medium">
        <color indexed="64"/>
      </top>
      <bottom style="medium">
        <color indexed="64"/>
      </bottom>
      <diagonal/>
    </border>
    <border>
      <left style="double">
        <color indexed="64"/>
      </left>
      <right/>
      <top/>
      <bottom style="hair">
        <color indexed="64"/>
      </bottom>
      <diagonal/>
    </border>
    <border>
      <left style="double">
        <color indexed="64"/>
      </left>
      <right style="double">
        <color indexed="64"/>
      </right>
      <top style="double">
        <color indexed="64"/>
      </top>
      <bottom style="double">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top/>
      <bottom style="thin">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dotted">
        <color indexed="64"/>
      </top>
      <bottom style="dotted">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auto="1"/>
      </top>
      <bottom/>
      <diagonal/>
    </border>
    <border>
      <left/>
      <right style="medium">
        <color indexed="64"/>
      </right>
      <top style="thin">
        <color auto="1"/>
      </top>
      <bottom/>
      <diagonal/>
    </border>
  </borders>
  <cellStyleXfs count="2057">
    <xf numFmtId="0" fontId="0" fillId="0" borderId="0"/>
    <xf numFmtId="0" fontId="15" fillId="0" borderId="0"/>
    <xf numFmtId="0" fontId="14" fillId="0" borderId="0"/>
    <xf numFmtId="0" fontId="16" fillId="0" borderId="0"/>
    <xf numFmtId="0" fontId="13" fillId="0" borderId="0"/>
    <xf numFmtId="0" fontId="17" fillId="0" borderId="0"/>
    <xf numFmtId="0" fontId="18" fillId="0" borderId="0"/>
    <xf numFmtId="40" fontId="18" fillId="0" borderId="0" applyFont="0" applyFill="0" applyBorder="0" applyAlignment="0" applyProtection="0"/>
    <xf numFmtId="0" fontId="12" fillId="0" borderId="0"/>
    <xf numFmtId="0" fontId="11" fillId="0" borderId="0"/>
    <xf numFmtId="0" fontId="11" fillId="0" borderId="0"/>
    <xf numFmtId="9" fontId="16" fillId="0" borderId="0" applyFont="0" applyFill="0" applyBorder="0" applyAlignment="0" applyProtection="0"/>
    <xf numFmtId="0" fontId="10" fillId="0" borderId="0"/>
    <xf numFmtId="0" fontId="10" fillId="0" borderId="0"/>
    <xf numFmtId="0" fontId="10"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9" fontId="8" fillId="0" borderId="0" applyFont="0" applyFill="0" applyBorder="0" applyAlignment="0" applyProtection="0"/>
    <xf numFmtId="0" fontId="7" fillId="0" borderId="0"/>
    <xf numFmtId="169" fontId="20" fillId="0" borderId="0"/>
    <xf numFmtId="0" fontId="21" fillId="0" borderId="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1" fontId="29" fillId="0" borderId="0" applyFont="0" applyFill="0" applyBorder="0" applyAlignment="0" applyProtection="0"/>
    <xf numFmtId="10" fontId="29" fillId="0" borderId="0" applyFont="0" applyFill="0" applyBorder="0" applyAlignment="0" applyProtection="0"/>
    <xf numFmtId="6" fontId="30" fillId="0" borderId="0" applyFont="0" applyFill="0" applyBorder="0" applyAlignment="0" applyProtection="0"/>
    <xf numFmtId="8" fontId="30" fillId="0" borderId="0" applyFont="0" applyFill="0" applyBorder="0" applyAlignment="0" applyProtection="0"/>
    <xf numFmtId="170" fontId="23" fillId="0" borderId="9"/>
    <xf numFmtId="0" fontId="31" fillId="0" borderId="16" applyBorder="0" applyProtection="0">
      <alignment horizontal="left"/>
    </xf>
    <xf numFmtId="0" fontId="31" fillId="0" borderId="16" applyBorder="0" applyProtection="0">
      <alignment horizontal="left"/>
    </xf>
    <xf numFmtId="0" fontId="31" fillId="0" borderId="16" applyBorder="0" applyProtection="0">
      <alignment horizontal="left"/>
    </xf>
    <xf numFmtId="0" fontId="31" fillId="0" borderId="16" applyBorder="0" applyProtection="0">
      <alignment horizontal="left"/>
    </xf>
    <xf numFmtId="0" fontId="32" fillId="0" borderId="13" applyNumberFormat="0" applyFill="0" applyProtection="0">
      <alignment horizontal="center"/>
    </xf>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0" fontId="18" fillId="0" borderId="0" applyFont="0" applyFill="0" applyBorder="0" applyAlignment="0" applyProtection="0"/>
    <xf numFmtId="37" fontId="29" fillId="0" borderId="0" applyFont="0" applyFill="0" applyBorder="0" applyAlignment="0" applyProtection="0"/>
    <xf numFmtId="172" fontId="29" fillId="0" borderId="0" applyFont="0" applyFill="0" applyBorder="0" applyAlignment="0" applyProtection="0"/>
    <xf numFmtId="39" fontId="29" fillId="0" borderId="0" applyFont="0" applyFill="0" applyBorder="0" applyAlignment="0" applyProtection="0"/>
    <xf numFmtId="3" fontId="16" fillId="0" borderId="0" applyFont="0" applyFill="0" applyBorder="0" applyAlignment="0" applyProtection="0">
      <alignment vertical="top"/>
    </xf>
    <xf numFmtId="3" fontId="16" fillId="0" borderId="0" applyFont="0" applyFill="0" applyBorder="0" applyAlignment="0" applyProtection="0">
      <alignment vertical="top"/>
    </xf>
    <xf numFmtId="3" fontId="16" fillId="0" borderId="0" applyFont="0" applyFill="0" applyBorder="0" applyAlignment="0" applyProtection="0">
      <alignment vertical="top"/>
    </xf>
    <xf numFmtId="3" fontId="16" fillId="0" borderId="0" applyFont="0" applyFill="0" applyBorder="0" applyAlignment="0" applyProtection="0">
      <alignment vertical="top"/>
    </xf>
    <xf numFmtId="0" fontId="25" fillId="3" borderId="13" applyNumberFormat="0" applyFont="0" applyBorder="0" applyAlignment="0" applyProtection="0">
      <alignment wrapText="1"/>
    </xf>
    <xf numFmtId="44" fontId="28" fillId="0" borderId="0" applyFont="0" applyFill="0" applyBorder="0" applyAlignment="0" applyProtection="0"/>
    <xf numFmtId="5" fontId="29" fillId="0" borderId="0" applyFont="0" applyFill="0" applyBorder="0" applyAlignment="0" applyProtection="0"/>
    <xf numFmtId="7" fontId="29" fillId="0" borderId="0" applyFont="0" applyFill="0" applyBorder="0" applyAlignment="0" applyProtection="0"/>
    <xf numFmtId="5" fontId="16" fillId="0" borderId="0" applyFont="0" applyFill="0" applyBorder="0" applyAlignment="0" applyProtection="0">
      <alignment vertical="top"/>
    </xf>
    <xf numFmtId="5" fontId="16" fillId="0" borderId="0" applyFont="0" applyFill="0" applyBorder="0" applyAlignment="0" applyProtection="0">
      <alignment vertical="top"/>
    </xf>
    <xf numFmtId="5" fontId="16" fillId="0" borderId="0" applyFont="0" applyFill="0" applyBorder="0" applyAlignment="0" applyProtection="0">
      <alignment vertical="top"/>
    </xf>
    <xf numFmtId="5" fontId="16" fillId="0" borderId="0" applyFont="0" applyFill="0" applyBorder="0" applyAlignment="0" applyProtection="0">
      <alignment vertical="top"/>
    </xf>
    <xf numFmtId="14" fontId="16" fillId="0" borderId="0" applyFont="0" applyFill="0" applyBorder="0" applyAlignment="0" applyProtection="0"/>
    <xf numFmtId="14" fontId="16" fillId="0" borderId="0" applyFont="0" applyFill="0" applyBorder="0" applyAlignment="0" applyProtection="0"/>
    <xf numFmtId="14" fontId="16" fillId="0" borderId="0" applyFont="0" applyFill="0" applyBorder="0" applyAlignment="0" applyProtection="0"/>
    <xf numFmtId="14" fontId="16" fillId="0" borderId="0" applyFont="0" applyFill="0" applyBorder="0" applyAlignment="0" applyProtection="0"/>
    <xf numFmtId="175" fontId="33"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38" fontId="28" fillId="4" borderId="0" applyNumberFormat="0" applyBorder="0" applyAlignment="0" applyProtection="0"/>
    <xf numFmtId="38" fontId="28" fillId="4" borderId="0" applyNumberFormat="0" applyBorder="0" applyAlignment="0" applyProtection="0"/>
    <xf numFmtId="38" fontId="28" fillId="4" borderId="0" applyNumberFormat="0" applyBorder="0" applyAlignment="0" applyProtection="0"/>
    <xf numFmtId="38" fontId="28" fillId="4" borderId="0" applyNumberFormat="0" applyBorder="0" applyAlignment="0" applyProtection="0"/>
    <xf numFmtId="0" fontId="27" fillId="0" borderId="31" applyNumberFormat="0" applyAlignment="0" applyProtection="0">
      <alignment horizontal="left" vertical="center"/>
    </xf>
    <xf numFmtId="0" fontId="27" fillId="0" borderId="31" applyNumberFormat="0" applyAlignment="0" applyProtection="0">
      <alignment horizontal="left" vertical="center"/>
    </xf>
    <xf numFmtId="0" fontId="27" fillId="0" borderId="7">
      <alignment horizontal="left" vertical="center"/>
    </xf>
    <xf numFmtId="0" fontId="27" fillId="0" borderId="7">
      <alignment horizontal="left" vertical="center"/>
    </xf>
    <xf numFmtId="0" fontId="26" fillId="0" borderId="0" applyNumberFormat="0" applyFont="0" applyFill="0" applyAlignment="0" applyProtection="0"/>
    <xf numFmtId="0" fontId="27" fillId="0" borderId="0" applyNumberFormat="0" applyFont="0" applyFill="0" applyAlignment="0" applyProtection="0"/>
    <xf numFmtId="0" fontId="27" fillId="0" borderId="0" applyNumberFormat="0" applyFont="0" applyFill="0" applyAlignment="0" applyProtection="0"/>
    <xf numFmtId="0" fontId="27" fillId="0" borderId="0" applyNumberFormat="0" applyFont="0" applyFill="0" applyAlignment="0" applyProtection="0"/>
    <xf numFmtId="0" fontId="27" fillId="0" borderId="0" applyNumberFormat="0" applyFont="0" applyFill="0" applyAlignment="0" applyProtection="0"/>
    <xf numFmtId="10" fontId="28" fillId="5" borderId="1" applyNumberFormat="0" applyBorder="0" applyAlignment="0" applyProtection="0"/>
    <xf numFmtId="10" fontId="28" fillId="5" borderId="1" applyNumberFormat="0" applyBorder="0" applyAlignment="0" applyProtection="0"/>
    <xf numFmtId="10" fontId="28" fillId="5" borderId="1" applyNumberFormat="0" applyBorder="0" applyAlignment="0" applyProtection="0"/>
    <xf numFmtId="10" fontId="28" fillId="5" borderId="1" applyNumberFormat="0" applyBorder="0" applyAlignment="0" applyProtection="0"/>
    <xf numFmtId="0" fontId="24" fillId="0" borderId="32">
      <protection locked="0"/>
    </xf>
    <xf numFmtId="173" fontId="16" fillId="0" borderId="0"/>
    <xf numFmtId="173" fontId="16" fillId="0" borderId="0"/>
    <xf numFmtId="173" fontId="16" fillId="0" borderId="0"/>
    <xf numFmtId="173" fontId="16" fillId="0" borderId="0"/>
    <xf numFmtId="0" fontId="16" fillId="0" borderId="0"/>
    <xf numFmtId="0" fontId="16" fillId="0" borderId="0"/>
    <xf numFmtId="0" fontId="16" fillId="0" borderId="0"/>
    <xf numFmtId="0" fontId="16" fillId="0" borderId="0"/>
    <xf numFmtId="0" fontId="22" fillId="0" borderId="0"/>
    <xf numFmtId="0" fontId="16" fillId="0" borderId="0"/>
    <xf numFmtId="0" fontId="16" fillId="0" borderId="0"/>
    <xf numFmtId="0" fontId="16" fillId="0" borderId="0"/>
    <xf numFmtId="0" fontId="6" fillId="0" borderId="0"/>
    <xf numFmtId="0" fontId="22" fillId="0" borderId="0"/>
    <xf numFmtId="0" fontId="16" fillId="0" borderId="0"/>
    <xf numFmtId="0" fontId="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0" borderId="0"/>
    <xf numFmtId="0" fontId="22" fillId="0" borderId="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28" fillId="6" borderId="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6" fillId="0" borderId="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4"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4" fillId="0" borderId="0" applyFont="0" applyFill="0" applyBorder="0" applyAlignment="0" applyProtection="0"/>
    <xf numFmtId="43" fontId="16" fillId="0" borderId="0" applyFont="0" applyFill="0" applyBorder="0" applyAlignment="0" applyProtection="0"/>
    <xf numFmtId="3" fontId="16" fillId="0" borderId="0" applyFont="0" applyFill="0" applyBorder="0" applyAlignment="0" applyProtection="0">
      <alignment vertical="top"/>
    </xf>
    <xf numFmtId="3" fontId="16" fillId="0" borderId="0" applyFont="0" applyFill="0" applyBorder="0" applyAlignment="0" applyProtection="0">
      <alignment vertical="top"/>
    </xf>
    <xf numFmtId="3" fontId="16" fillId="0" borderId="0" applyFont="0" applyFill="0" applyBorder="0" applyAlignment="0" applyProtection="0">
      <alignment vertical="top"/>
    </xf>
    <xf numFmtId="3" fontId="16" fillId="0" borderId="0" applyFont="0" applyFill="0" applyBorder="0" applyAlignment="0" applyProtection="0">
      <alignment vertical="top"/>
    </xf>
    <xf numFmtId="44" fontId="22" fillId="0" borderId="0" applyFont="0" applyFill="0" applyBorder="0" applyAlignment="0" applyProtection="0"/>
    <xf numFmtId="5" fontId="16" fillId="0" borderId="0" applyFont="0" applyFill="0" applyBorder="0" applyAlignment="0" applyProtection="0">
      <alignment vertical="top"/>
    </xf>
    <xf numFmtId="5" fontId="16" fillId="0" borderId="0" applyFont="0" applyFill="0" applyBorder="0" applyAlignment="0" applyProtection="0">
      <alignment vertical="top"/>
    </xf>
    <xf numFmtId="5" fontId="16" fillId="0" borderId="0" applyFont="0" applyFill="0" applyBorder="0" applyAlignment="0" applyProtection="0">
      <alignment vertical="top"/>
    </xf>
    <xf numFmtId="5" fontId="16" fillId="0" borderId="0" applyFont="0" applyFill="0" applyBorder="0" applyAlignment="0" applyProtection="0">
      <alignment vertical="top"/>
    </xf>
    <xf numFmtId="14" fontId="16" fillId="0" borderId="0" applyFont="0" applyFill="0" applyBorder="0" applyAlignment="0" applyProtection="0"/>
    <xf numFmtId="14" fontId="16" fillId="0" borderId="0" applyFont="0" applyFill="0" applyBorder="0" applyAlignment="0" applyProtection="0"/>
    <xf numFmtId="14" fontId="16" fillId="0" borderId="0" applyFont="0" applyFill="0" applyBorder="0" applyAlignment="0" applyProtection="0"/>
    <xf numFmtId="14"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38" fontId="28" fillId="4" borderId="0" applyNumberFormat="0" applyBorder="0" applyAlignment="0" applyProtection="0"/>
    <xf numFmtId="38" fontId="28" fillId="4" borderId="0" applyNumberFormat="0" applyBorder="0" applyAlignment="0" applyProtection="0"/>
    <xf numFmtId="38" fontId="28" fillId="4" borderId="0" applyNumberFormat="0" applyBorder="0" applyAlignment="0" applyProtection="0"/>
    <xf numFmtId="38" fontId="28" fillId="4" borderId="0" applyNumberFormat="0" applyBorder="0" applyAlignment="0" applyProtection="0"/>
    <xf numFmtId="0" fontId="26" fillId="0" borderId="0" applyNumberFormat="0" applyFont="0" applyFill="0" applyAlignment="0" applyProtection="0"/>
    <xf numFmtId="0" fontId="26" fillId="0" borderId="0" applyNumberFormat="0" applyFont="0" applyFill="0" applyAlignment="0" applyProtection="0"/>
    <xf numFmtId="0" fontId="26" fillId="0" borderId="0" applyNumberFormat="0" applyFont="0" applyFill="0" applyAlignment="0" applyProtection="0"/>
    <xf numFmtId="0" fontId="26" fillId="0" borderId="0" applyNumberFormat="0" applyFont="0" applyFill="0" applyAlignment="0" applyProtection="0"/>
    <xf numFmtId="0" fontId="26" fillId="0" borderId="0" applyNumberFormat="0" applyFont="0" applyFill="0" applyAlignment="0" applyProtection="0"/>
    <xf numFmtId="0" fontId="26" fillId="0" borderId="0" applyNumberFormat="0" applyFont="0" applyFill="0" applyAlignment="0" applyProtection="0"/>
    <xf numFmtId="0" fontId="26" fillId="0" borderId="0" applyNumberFormat="0" applyFont="0" applyFill="0" applyAlignment="0" applyProtection="0"/>
    <xf numFmtId="0" fontId="27" fillId="0" borderId="0" applyNumberFormat="0" applyFont="0" applyFill="0" applyAlignment="0" applyProtection="0"/>
    <xf numFmtId="0" fontId="27" fillId="0" borderId="0" applyNumberFormat="0" applyFont="0" applyFill="0" applyAlignment="0" applyProtection="0"/>
    <xf numFmtId="0" fontId="27" fillId="0" borderId="0" applyNumberFormat="0" applyFont="0" applyFill="0" applyAlignment="0" applyProtection="0"/>
    <xf numFmtId="0" fontId="27" fillId="0" borderId="0" applyNumberFormat="0" applyFont="0" applyFill="0" applyAlignment="0" applyProtection="0"/>
    <xf numFmtId="0" fontId="27" fillId="0" borderId="0" applyNumberFormat="0" applyFont="0" applyFill="0" applyAlignment="0" applyProtection="0"/>
    <xf numFmtId="0" fontId="27" fillId="0" borderId="0" applyNumberFormat="0" applyFont="0" applyFill="0" applyAlignment="0" applyProtection="0"/>
    <xf numFmtId="0" fontId="27" fillId="0" borderId="0" applyNumberFormat="0" applyFont="0" applyFill="0" applyAlignment="0" applyProtection="0"/>
    <xf numFmtId="0" fontId="27" fillId="0" borderId="0" applyNumberFormat="0" applyFont="0" applyFill="0" applyAlignment="0" applyProtection="0"/>
    <xf numFmtId="0" fontId="27" fillId="0" borderId="0" applyNumberFormat="0" applyFont="0" applyFill="0" applyAlignment="0" applyProtection="0"/>
    <xf numFmtId="0" fontId="27" fillId="0" borderId="0" applyNumberFormat="0" applyFont="0" applyFill="0" applyAlignment="0" applyProtection="0"/>
    <xf numFmtId="10" fontId="28" fillId="5" borderId="1" applyNumberFormat="0" applyBorder="0" applyAlignment="0" applyProtection="0"/>
    <xf numFmtId="10" fontId="28" fillId="5" borderId="1" applyNumberFormat="0" applyBorder="0" applyAlignment="0" applyProtection="0"/>
    <xf numFmtId="10" fontId="28" fillId="5" borderId="1" applyNumberFormat="0" applyBorder="0" applyAlignment="0" applyProtection="0"/>
    <xf numFmtId="10" fontId="28" fillId="5" borderId="1" applyNumberFormat="0" applyBorder="0" applyAlignment="0" applyProtection="0"/>
    <xf numFmtId="173" fontId="16" fillId="0" borderId="0"/>
    <xf numFmtId="173" fontId="16" fillId="0" borderId="0"/>
    <xf numFmtId="173" fontId="16" fillId="0" borderId="0"/>
    <xf numFmtId="173"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2" fillId="0" borderId="0"/>
    <xf numFmtId="0" fontId="16" fillId="0" borderId="0"/>
    <xf numFmtId="0" fontId="16" fillId="0" borderId="0"/>
    <xf numFmtId="0" fontId="16" fillId="0" borderId="0"/>
    <xf numFmtId="0" fontId="16" fillId="0" borderId="0"/>
    <xf numFmtId="0" fontId="16" fillId="0" borderId="0"/>
    <xf numFmtId="0" fontId="16"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 fillId="0" borderId="0"/>
    <xf numFmtId="0" fontId="1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xf numFmtId="0" fontId="22" fillId="0" borderId="0"/>
    <xf numFmtId="0" fontId="6" fillId="0" borderId="0"/>
    <xf numFmtId="0" fontId="6" fillId="0" borderId="0"/>
    <xf numFmtId="0" fontId="22" fillId="0" borderId="0"/>
    <xf numFmtId="0" fontId="16" fillId="0" borderId="0"/>
    <xf numFmtId="0" fontId="16" fillId="0" borderId="0"/>
    <xf numFmtId="0" fontId="16" fillId="0" borderId="0"/>
    <xf numFmtId="0" fontId="28" fillId="0" borderId="0"/>
    <xf numFmtId="0" fontId="28"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2" fillId="0" borderId="0"/>
    <xf numFmtId="0" fontId="22" fillId="0" borderId="0"/>
    <xf numFmtId="0" fontId="22" fillId="0" borderId="0"/>
    <xf numFmtId="0" fontId="22" fillId="0" borderId="0"/>
    <xf numFmtId="0" fontId="22" fillId="0" borderId="0"/>
    <xf numFmtId="0" fontId="1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6" fillId="0" borderId="0"/>
    <xf numFmtId="0" fontId="22" fillId="0" borderId="0"/>
    <xf numFmtId="0" fontId="2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5" fillId="0" borderId="0"/>
    <xf numFmtId="0" fontId="16" fillId="0" borderId="0"/>
    <xf numFmtId="0" fontId="16" fillId="0" borderId="0"/>
    <xf numFmtId="0" fontId="16" fillId="0" borderId="0"/>
    <xf numFmtId="0" fontId="16" fillId="0" borderId="0"/>
    <xf numFmtId="0" fontId="16" fillId="0" borderId="0"/>
    <xf numFmtId="0" fontId="16" fillId="0" borderId="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176" fontId="16" fillId="0" borderId="1" applyFont="0" applyFill="0" applyProtection="0">
      <alignment horizontal="righ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1" fontId="16" fillId="0" borderId="1" applyFont="0" applyFill="0" applyProtection="0">
      <alignment horizontal="righ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1" fontId="22" fillId="0" borderId="1" applyFont="0" applyFill="0" applyProtection="0">
      <alignment horizontal="right" wrapText="1"/>
    </xf>
    <xf numFmtId="0" fontId="22" fillId="0" borderId="1" applyNumberFormat="0" applyFont="0" applyFill="0" applyProtection="0">
      <alignment horizontal="left" wrapText="1"/>
    </xf>
    <xf numFmtId="176" fontId="16" fillId="0" borderId="1" applyFont="0" applyFill="0" applyProtection="0">
      <alignment horizontal="right" wrapText="1"/>
    </xf>
    <xf numFmtId="0" fontId="16" fillId="0" borderId="1" applyNumberFormat="0" applyFont="0" applyFill="0" applyProtection="0">
      <alignment horizontal="left" wrapText="1"/>
    </xf>
    <xf numFmtId="0" fontId="19" fillId="0" borderId="34" applyNumberFormat="0" applyFill="0" applyProtection="0">
      <alignment horizontal="center"/>
    </xf>
    <xf numFmtId="176" fontId="22" fillId="0" borderId="1" applyFont="0" applyFill="0" applyProtection="0">
      <alignment horizontal="right" wrapText="1"/>
    </xf>
    <xf numFmtId="177" fontId="22" fillId="0" borderId="1" applyFont="0" applyFill="0" applyProtection="0">
      <alignment horizontal="right" wrapText="1"/>
    </xf>
    <xf numFmtId="176" fontId="22" fillId="0" borderId="1" applyFont="0" applyFill="0" applyProtection="0">
      <alignment horizontal="right" wrapText="1"/>
    </xf>
    <xf numFmtId="176" fontId="22" fillId="0" borderId="1" applyFont="0" applyFill="0" applyProtection="0">
      <alignment horizontal="right" wrapText="1"/>
    </xf>
    <xf numFmtId="176" fontId="22" fillId="0" borderId="1" applyFont="0" applyFill="0" applyProtection="0">
      <alignment horizontal="right" wrapText="1"/>
    </xf>
    <xf numFmtId="176" fontId="22" fillId="0" borderId="1" applyFont="0" applyFill="0" applyProtection="0">
      <alignment horizontal="right" wrapText="1"/>
    </xf>
    <xf numFmtId="176" fontId="22" fillId="0" borderId="1" applyFont="0" applyFill="0" applyProtection="0">
      <alignment horizontal="right" wrapText="1"/>
    </xf>
    <xf numFmtId="176" fontId="22" fillId="0" borderId="1" applyFont="0" applyFill="0" applyProtection="0">
      <alignment horizontal="right" wrapText="1"/>
    </xf>
    <xf numFmtId="176" fontId="22" fillId="0" borderId="1" applyFont="0" applyFill="0" applyProtection="0">
      <alignment horizontal="right" wrapText="1"/>
    </xf>
    <xf numFmtId="176" fontId="16" fillId="0" borderId="1" applyFont="0" applyFill="0" applyProtection="0">
      <alignment horizontal="right" vertical="top" wrapText="1"/>
    </xf>
    <xf numFmtId="0" fontId="19" fillId="0" borderId="0" applyNumberFormat="0" applyFill="0" applyBorder="0" applyProtection="0">
      <alignment horizontal="left"/>
    </xf>
    <xf numFmtId="1" fontId="16" fillId="0" borderId="1" applyFont="0" applyFill="0" applyProtection="0">
      <alignment horizontal="right" vertical="top" wrapText="1"/>
    </xf>
    <xf numFmtId="1" fontId="16" fillId="0" borderId="1" applyFont="0" applyFill="0" applyProtection="0">
      <alignment horizontal="right" vertical="top" wrapText="1"/>
    </xf>
    <xf numFmtId="1" fontId="16" fillId="0" borderId="1" applyFont="0" applyFill="0" applyProtection="0">
      <alignment horizontal="right" vertical="top" wrapText="1"/>
    </xf>
    <xf numFmtId="1" fontId="16" fillId="0" borderId="1" applyFont="0" applyFill="0" applyProtection="0">
      <alignment horizontal="right" vertical="top" wrapText="1"/>
    </xf>
    <xf numFmtId="1" fontId="16" fillId="0" borderId="1" applyFont="0" applyFill="0" applyProtection="0">
      <alignment horizontal="right" vertical="top" wrapText="1"/>
    </xf>
    <xf numFmtId="1" fontId="16" fillId="0" borderId="1" applyFont="0" applyFill="0" applyProtection="0">
      <alignment horizontal="right" vertical="top" wrapText="1"/>
    </xf>
    <xf numFmtId="1" fontId="16" fillId="0" borderId="1" applyFont="0" applyFill="0" applyProtection="0">
      <alignment horizontal="right" vertical="top" wrapText="1"/>
    </xf>
    <xf numFmtId="1" fontId="16" fillId="0" borderId="1" applyFont="0" applyFill="0" applyProtection="0">
      <alignment horizontal="right" vertical="top" wrapText="1"/>
    </xf>
    <xf numFmtId="1" fontId="16" fillId="0" borderId="1" applyFont="0" applyFill="0" applyProtection="0">
      <alignment horizontal="right" vertical="top" wrapText="1"/>
    </xf>
    <xf numFmtId="0" fontId="19" fillId="0" borderId="0" applyNumberFormat="0" applyFill="0" applyBorder="0" applyProtection="0">
      <alignment horizontal="left"/>
    </xf>
    <xf numFmtId="0" fontId="16" fillId="0" borderId="1" applyNumberFormat="0" applyFont="0" applyFill="0" applyProtection="0">
      <alignment horizontal="right"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right" wrapText="1"/>
    </xf>
    <xf numFmtId="0" fontId="16" fillId="0" borderId="1" applyNumberFormat="0" applyFont="0" applyFill="0" applyProtection="0">
      <alignment horizontal="left" vertical="top" wrapText="1"/>
    </xf>
    <xf numFmtId="0" fontId="22" fillId="0" borderId="1" applyNumberFormat="0" applyFont="0" applyFill="0" applyProtection="0">
      <alignment horizontal="left" wrapText="1"/>
    </xf>
    <xf numFmtId="0" fontId="22" fillId="0" borderId="1" applyNumberFormat="0" applyFont="0" applyFill="0" applyProtection="0">
      <alignment horizontal="left" wrapText="1"/>
    </xf>
    <xf numFmtId="0" fontId="22" fillId="0" borderId="1" applyNumberFormat="0" applyFont="0" applyFill="0" applyProtection="0">
      <alignment horizontal="left" wrapText="1"/>
    </xf>
    <xf numFmtId="0" fontId="22" fillId="0" borderId="1" applyNumberFormat="0" applyFont="0" applyFill="0" applyProtection="0">
      <alignment horizontal="left" wrapText="1"/>
    </xf>
    <xf numFmtId="0" fontId="22" fillId="0" borderId="1" applyNumberFormat="0" applyFont="0" applyFill="0" applyProtection="0">
      <alignment horizontal="left" wrapText="1"/>
    </xf>
    <xf numFmtId="0" fontId="22" fillId="0" borderId="1" applyNumberFormat="0" applyFont="0" applyFill="0" applyProtection="0">
      <alignment horizontal="left" wrapText="1"/>
    </xf>
    <xf numFmtId="0" fontId="22" fillId="0" borderId="1" applyNumberFormat="0" applyFont="0" applyFill="0" applyProtection="0">
      <alignment horizontal="left" wrapText="1"/>
    </xf>
    <xf numFmtId="0" fontId="22" fillId="0" borderId="1" applyNumberFormat="0" applyFont="0" applyFill="0" applyProtection="0">
      <alignment horizontal="left" wrapText="1"/>
    </xf>
    <xf numFmtId="0" fontId="22" fillId="0" borderId="1" applyNumberFormat="0" applyFont="0" applyFill="0" applyProtection="0">
      <alignment horizontal="left" wrapText="1"/>
    </xf>
    <xf numFmtId="0" fontId="16" fillId="0" borderId="1" applyNumberFormat="0" applyFont="0" applyFill="0" applyProtection="0">
      <alignment horizontal="left" vertical="top" wrapText="1"/>
    </xf>
    <xf numFmtId="178" fontId="16" fillId="0" borderId="1"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28" fillId="0" borderId="0" applyNumberFormat="0" applyFill="0" applyBorder="0" applyProtection="0">
      <alignment horizontal="left"/>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176" fontId="16" fillId="0" borderId="1" applyFont="0" applyFill="0" applyProtection="0">
      <alignment horizontal="righ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176" fontId="16" fillId="0" borderId="1" applyFont="0" applyFill="0" applyProtection="0">
      <alignment horizontal="right" vertical="top" wrapText="1"/>
    </xf>
    <xf numFmtId="1" fontId="16" fillId="0" borderId="1" applyFont="0" applyFill="0" applyProtection="0">
      <alignment horizontal="righ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1" fontId="16" fillId="0" borderId="1" applyFont="0" applyFill="0" applyProtection="0">
      <alignment horizontal="righ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176" fontId="16" fillId="0" borderId="1" applyFont="0" applyFill="0" applyProtection="0">
      <alignment horizontal="right" vertical="top" wrapText="1"/>
    </xf>
    <xf numFmtId="1" fontId="16" fillId="0" borderId="1" applyFont="0" applyFill="0" applyProtection="0">
      <alignment horizontal="righ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22"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6" fillId="0" borderId="0"/>
    <xf numFmtId="0" fontId="6" fillId="0" borderId="0"/>
    <xf numFmtId="0" fontId="6" fillId="0" borderId="0"/>
    <xf numFmtId="0" fontId="22" fillId="0" borderId="0"/>
    <xf numFmtId="0" fontId="6" fillId="0" borderId="0"/>
    <xf numFmtId="0" fontId="6" fillId="0" borderId="0"/>
    <xf numFmtId="0" fontId="6" fillId="0" borderId="0"/>
    <xf numFmtId="0" fontId="22" fillId="0" borderId="0"/>
    <xf numFmtId="0" fontId="6" fillId="0" borderId="0"/>
    <xf numFmtId="0" fontId="6" fillId="0" borderId="0"/>
    <xf numFmtId="0" fontId="6" fillId="0" borderId="0"/>
    <xf numFmtId="0" fontId="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9" fontId="16" fillId="7" borderId="35">
      <alignment horizontal="center" vertical="center"/>
    </xf>
    <xf numFmtId="0" fontId="36" fillId="0" borderId="0" applyFont="0" applyFill="0" applyBorder="0" applyAlignment="0" applyProtection="0">
      <alignment horizontal="right"/>
    </xf>
    <xf numFmtId="0" fontId="16" fillId="0" borderId="0" applyNumberFormat="0" applyFont="0" applyFill="0" applyAlignment="0" applyProtection="0"/>
    <xf numFmtId="0" fontId="16" fillId="0" borderId="0" applyNumberFormat="0" applyFont="0" applyFill="0" applyAlignment="0" applyProtection="0"/>
    <xf numFmtId="0" fontId="16" fillId="0" borderId="0" applyNumberFormat="0" applyFont="0" applyFill="0" applyAlignment="0" applyProtection="0"/>
    <xf numFmtId="0" fontId="16" fillId="0" borderId="0" applyNumberFormat="0" applyFont="0" applyFill="0" applyAlignment="0" applyProtection="0"/>
    <xf numFmtId="0" fontId="16" fillId="0" borderId="0" applyNumberFormat="0" applyFont="0" applyFill="0" applyAlignment="0" applyProtection="0"/>
    <xf numFmtId="0" fontId="37" fillId="0" borderId="0" applyFill="0" applyBorder="0" applyAlignment="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4"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4"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3" fontId="16" fillId="0" borderId="0" applyFont="0" applyFill="0" applyBorder="0" applyAlignment="0" applyProtection="0">
      <alignment vertical="top"/>
    </xf>
    <xf numFmtId="3" fontId="16" fillId="0" borderId="0" applyFont="0" applyFill="0" applyBorder="0" applyAlignment="0" applyProtection="0">
      <alignment vertical="top"/>
    </xf>
    <xf numFmtId="3" fontId="16" fillId="0" borderId="0" applyFont="0" applyFill="0" applyBorder="0" applyAlignment="0" applyProtection="0">
      <alignment vertical="top"/>
    </xf>
    <xf numFmtId="3" fontId="16" fillId="0" borderId="0" applyFont="0" applyFill="0" applyBorder="0" applyAlignment="0" applyProtection="0">
      <alignment vertical="top"/>
    </xf>
    <xf numFmtId="3" fontId="16" fillId="0" borderId="0" applyFont="0" applyFill="0" applyBorder="0" applyAlignment="0" applyProtection="0">
      <alignment vertical="top"/>
    </xf>
    <xf numFmtId="3" fontId="16" fillId="0" borderId="0" applyFont="0" applyFill="0" applyBorder="0" applyAlignment="0" applyProtection="0">
      <alignment vertical="top"/>
    </xf>
    <xf numFmtId="3" fontId="16" fillId="0" borderId="0" applyFont="0" applyFill="0" applyBorder="0" applyAlignment="0" applyProtection="0">
      <alignment vertical="top"/>
    </xf>
    <xf numFmtId="3" fontId="16" fillId="0" borderId="0" applyFont="0" applyFill="0" applyBorder="0" applyAlignment="0" applyProtection="0">
      <alignment vertical="top"/>
    </xf>
    <xf numFmtId="0" fontId="38" fillId="0" borderId="0" applyNumberFormat="0" applyAlignment="0">
      <alignment horizontal="left"/>
    </xf>
    <xf numFmtId="44" fontId="16" fillId="0" borderId="0" applyFont="0" applyFill="0" applyBorder="0" applyAlignment="0" applyProtection="0"/>
    <xf numFmtId="44" fontId="16" fillId="0" borderId="0" applyFont="0" applyFill="0" applyBorder="0" applyAlignment="0" applyProtection="0"/>
    <xf numFmtId="5" fontId="16" fillId="0" borderId="0" applyFont="0" applyFill="0" applyBorder="0" applyAlignment="0" applyProtection="0">
      <alignment vertical="top"/>
    </xf>
    <xf numFmtId="5" fontId="16" fillId="0" borderId="0" applyFont="0" applyFill="0" applyBorder="0" applyAlignment="0" applyProtection="0">
      <alignment vertical="top"/>
    </xf>
    <xf numFmtId="5" fontId="16" fillId="0" borderId="0" applyFont="0" applyFill="0" applyBorder="0" applyAlignment="0" applyProtection="0">
      <alignment vertical="top"/>
    </xf>
    <xf numFmtId="5" fontId="16" fillId="0" borderId="0" applyFont="0" applyFill="0" applyBorder="0" applyAlignment="0" applyProtection="0">
      <alignment vertical="top"/>
    </xf>
    <xf numFmtId="5" fontId="16" fillId="0" borderId="0" applyFont="0" applyFill="0" applyBorder="0" applyAlignment="0" applyProtection="0">
      <alignment vertical="top"/>
    </xf>
    <xf numFmtId="5" fontId="16" fillId="0" borderId="0" applyFont="0" applyFill="0" applyBorder="0" applyAlignment="0" applyProtection="0">
      <alignment vertical="top"/>
    </xf>
    <xf numFmtId="5" fontId="16" fillId="0" borderId="0" applyFont="0" applyFill="0" applyBorder="0" applyAlignment="0" applyProtection="0">
      <alignment vertical="top"/>
    </xf>
    <xf numFmtId="5" fontId="16" fillId="0" borderId="0" applyFont="0" applyFill="0" applyBorder="0" applyAlignment="0" applyProtection="0">
      <alignment vertical="top"/>
    </xf>
    <xf numFmtId="14" fontId="16" fillId="0" borderId="0" applyFont="0" applyFill="0" applyBorder="0" applyAlignment="0" applyProtection="0"/>
    <xf numFmtId="14" fontId="16" fillId="0" borderId="0" applyFont="0" applyFill="0" applyBorder="0" applyAlignment="0" applyProtection="0"/>
    <xf numFmtId="14" fontId="16" fillId="0" borderId="0" applyFont="0" applyFill="0" applyBorder="0" applyAlignment="0" applyProtection="0"/>
    <xf numFmtId="14" fontId="16" fillId="0" borderId="0" applyFont="0" applyFill="0" applyBorder="0" applyAlignment="0" applyProtection="0"/>
    <xf numFmtId="14" fontId="16" fillId="0" borderId="0" applyFont="0" applyFill="0" applyBorder="0" applyAlignment="0" applyProtection="0"/>
    <xf numFmtId="14" fontId="16" fillId="0" borderId="0" applyFont="0" applyFill="0" applyBorder="0" applyAlignment="0" applyProtection="0"/>
    <xf numFmtId="14" fontId="16" fillId="0" borderId="0" applyFont="0" applyFill="0" applyBorder="0" applyAlignment="0" applyProtection="0"/>
    <xf numFmtId="0" fontId="39" fillId="0" borderId="0" applyNumberFormat="0" applyAlignment="0">
      <alignment horizontal="left"/>
    </xf>
    <xf numFmtId="0" fontId="28" fillId="0" borderId="0">
      <alignment horizontal="left" vertical="center"/>
    </xf>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0" fontId="40" fillId="0" borderId="0" applyNumberFormat="0" applyFill="0" applyBorder="0" applyAlignment="0" applyProtection="0">
      <alignment horizontal="left"/>
    </xf>
    <xf numFmtId="0" fontId="41" fillId="0" borderId="0" applyNumberFormat="0" applyFill="0" applyBorder="0" applyAlignment="0" applyProtection="0"/>
    <xf numFmtId="0" fontId="26" fillId="0" borderId="0" applyNumberFormat="0" applyFont="0" applyFill="0" applyAlignment="0" applyProtection="0"/>
    <xf numFmtId="0" fontId="26" fillId="0" borderId="0" applyNumberFormat="0" applyFont="0" applyFill="0" applyAlignment="0" applyProtection="0"/>
    <xf numFmtId="0" fontId="26" fillId="0" borderId="0" applyNumberFormat="0" applyFont="0" applyFill="0" applyAlignment="0" applyProtection="0"/>
    <xf numFmtId="0" fontId="27" fillId="0" borderId="0" applyNumberFormat="0" applyFont="0" applyFill="0" applyAlignment="0" applyProtection="0"/>
    <xf numFmtId="0" fontId="27" fillId="0" borderId="0" applyNumberFormat="0" applyFont="0" applyFill="0" applyAlignment="0" applyProtection="0"/>
    <xf numFmtId="0" fontId="27" fillId="0" borderId="0" applyNumberFormat="0" applyFont="0" applyFill="0" applyAlignment="0" applyProtection="0"/>
    <xf numFmtId="180" fontId="16" fillId="0" borderId="0">
      <protection locked="0"/>
    </xf>
    <xf numFmtId="180" fontId="16" fillId="0" borderId="0">
      <protection locked="0"/>
    </xf>
    <xf numFmtId="0" fontId="42" fillId="0" borderId="36" applyNumberFormat="0" applyFill="0" applyAlignment="0" applyProtection="0"/>
    <xf numFmtId="181" fontId="16" fillId="0" borderId="0" applyFont="0" applyFill="0" applyBorder="0" applyAlignment="0" applyProtection="0"/>
    <xf numFmtId="0" fontId="16" fillId="0" borderId="0" applyFont="0" applyFill="0" applyBorder="0" applyAlignment="0" applyProtection="0"/>
    <xf numFmtId="182" fontId="16" fillId="0" borderId="0" applyFont="0" applyFill="0" applyBorder="0" applyAlignment="0" applyProtection="0"/>
    <xf numFmtId="183" fontId="16" fillId="0" borderId="0" applyFont="0" applyFill="0" applyBorder="0" applyAlignment="0" applyProtection="0"/>
    <xf numFmtId="37" fontId="43" fillId="0" borderId="0"/>
    <xf numFmtId="173" fontId="16" fillId="0" borderId="0"/>
    <xf numFmtId="173" fontId="16" fillId="0" borderId="0"/>
    <xf numFmtId="173" fontId="16" fillId="0" borderId="0"/>
    <xf numFmtId="173" fontId="16" fillId="0" borderId="0"/>
    <xf numFmtId="173" fontId="16" fillId="0" borderId="0"/>
    <xf numFmtId="173" fontId="16" fillId="0" borderId="0"/>
    <xf numFmtId="173"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8" fillId="0" borderId="0"/>
    <xf numFmtId="0" fontId="16" fillId="0" borderId="0"/>
    <xf numFmtId="0" fontId="16" fillId="0" borderId="0"/>
    <xf numFmtId="0" fontId="16" fillId="0" borderId="0"/>
    <xf numFmtId="0" fontId="28" fillId="0" borderId="0"/>
    <xf numFmtId="0" fontId="16" fillId="0" borderId="0"/>
    <xf numFmtId="0" fontId="6" fillId="0" borderId="0"/>
    <xf numFmtId="0" fontId="16" fillId="0" borderId="0"/>
    <xf numFmtId="0" fontId="2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6" fillId="0" borderId="0"/>
    <xf numFmtId="0" fontId="6" fillId="0" borderId="0"/>
    <xf numFmtId="0" fontId="16" fillId="0" borderId="0"/>
    <xf numFmtId="0" fontId="16" fillId="0" borderId="0"/>
    <xf numFmtId="0" fontId="16" fillId="0" borderId="0"/>
    <xf numFmtId="0" fontId="16" fillId="0" borderId="0"/>
    <xf numFmtId="0" fontId="2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8" fillId="0" borderId="0"/>
    <xf numFmtId="0" fontId="28" fillId="0" borderId="0"/>
    <xf numFmtId="0" fontId="28" fillId="0" borderId="0"/>
    <xf numFmtId="0" fontId="28"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44" fillId="0" borderId="0"/>
    <xf numFmtId="0" fontId="2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8" fillId="0" borderId="0"/>
    <xf numFmtId="0" fontId="16" fillId="0" borderId="0"/>
    <xf numFmtId="0" fontId="16" fillId="0" borderId="0"/>
    <xf numFmtId="0" fontId="16" fillId="0" borderId="0"/>
    <xf numFmtId="0" fontId="16" fillId="0" borderId="0"/>
    <xf numFmtId="0" fontId="16" fillId="0" borderId="0"/>
    <xf numFmtId="0" fontId="16" fillId="0" borderId="0"/>
    <xf numFmtId="171"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5" fillId="8" borderId="0">
      <alignment horizontal="center"/>
    </xf>
    <xf numFmtId="0" fontId="46" fillId="9" borderId="0">
      <alignment horizontal="center"/>
    </xf>
    <xf numFmtId="0" fontId="47" fillId="9" borderId="0">
      <alignment horizontal="center"/>
    </xf>
    <xf numFmtId="0" fontId="46" fillId="10" borderId="0">
      <alignment horizontal="center"/>
    </xf>
    <xf numFmtId="0" fontId="48" fillId="10" borderId="0">
      <alignment horizontal="center"/>
    </xf>
    <xf numFmtId="0" fontId="47" fillId="10" borderId="0">
      <alignment horizontal="center"/>
    </xf>
    <xf numFmtId="0" fontId="45" fillId="10" borderId="0">
      <alignment horizontal="center"/>
    </xf>
    <xf numFmtId="0" fontId="46" fillId="0" borderId="0">
      <alignment horizontal="center"/>
    </xf>
    <xf numFmtId="0" fontId="45" fillId="0" borderId="0">
      <alignment horizontal="center"/>
    </xf>
    <xf numFmtId="0" fontId="46" fillId="11" borderId="0">
      <alignment horizontal="center"/>
    </xf>
    <xf numFmtId="0" fontId="47" fillId="11" borderId="0">
      <alignment horizontal="center"/>
    </xf>
    <xf numFmtId="0" fontId="46" fillId="12" borderId="0">
      <alignment horizontal="center"/>
    </xf>
    <xf numFmtId="0" fontId="47" fillId="12" borderId="0">
      <alignment horizontal="center"/>
    </xf>
    <xf numFmtId="0" fontId="45" fillId="12" borderId="0">
      <alignment horizontal="center"/>
    </xf>
    <xf numFmtId="0" fontId="18" fillId="0" borderId="0" applyNumberFormat="0" applyFont="0" applyFill="0" applyBorder="0" applyAlignment="0" applyProtection="0">
      <alignment horizontal="left"/>
    </xf>
    <xf numFmtId="15" fontId="18" fillId="0" borderId="0" applyFont="0" applyFill="0" applyBorder="0" applyAlignment="0" applyProtection="0"/>
    <xf numFmtId="4" fontId="18" fillId="0" borderId="0" applyFont="0" applyFill="0" applyBorder="0" applyAlignment="0" applyProtection="0"/>
    <xf numFmtId="0" fontId="25" fillId="0" borderId="22">
      <alignment horizontal="center"/>
    </xf>
    <xf numFmtId="3" fontId="18" fillId="0" borderId="0" applyFont="0" applyFill="0" applyBorder="0" applyAlignment="0" applyProtection="0"/>
    <xf numFmtId="0" fontId="18" fillId="13" borderId="0" applyNumberFormat="0" applyFont="0" applyBorder="0" applyAlignment="0" applyProtection="0"/>
    <xf numFmtId="14" fontId="49" fillId="0" borderId="0" applyNumberFormat="0" applyFill="0" applyBorder="0" applyAlignment="0" applyProtection="0">
      <alignment horizontal="left"/>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176" fontId="16" fillId="0" borderId="1" applyFont="0" applyFill="0" applyProtection="0">
      <alignment horizontal="righ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1" fontId="16" fillId="0" borderId="1" applyFont="0" applyFill="0" applyProtection="0">
      <alignment horizontal="righ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176" fontId="16" fillId="0" borderId="1" applyFont="0" applyFill="0" applyProtection="0">
      <alignment horizontal="right" wrapText="1"/>
    </xf>
    <xf numFmtId="0" fontId="16" fillId="0" borderId="1" applyNumberFormat="0" applyFont="0" applyFill="0" applyProtection="0">
      <alignment horizontal="left" wrapText="1"/>
    </xf>
    <xf numFmtId="1" fontId="16" fillId="0" borderId="1" applyFont="0" applyFill="0" applyProtection="0">
      <alignment horizontal="right" vertical="top" wrapText="1"/>
    </xf>
    <xf numFmtId="1" fontId="16" fillId="0" borderId="1" applyFont="0" applyFill="0" applyProtection="0">
      <alignment horizontal="right" vertical="top" wrapText="1"/>
    </xf>
    <xf numFmtId="1" fontId="16" fillId="0" borderId="1" applyFont="0" applyFill="0" applyProtection="0">
      <alignment horizontal="right" vertical="top" wrapText="1"/>
    </xf>
    <xf numFmtId="1" fontId="16" fillId="0" borderId="1" applyFont="0" applyFill="0" applyProtection="0">
      <alignment horizontal="right" vertical="top" wrapText="1"/>
    </xf>
    <xf numFmtId="1" fontId="16" fillId="0" borderId="1" applyFont="0" applyFill="0" applyProtection="0">
      <alignment horizontal="right" vertical="top" wrapText="1"/>
    </xf>
    <xf numFmtId="1" fontId="16" fillId="0" borderId="1" applyFont="0" applyFill="0" applyProtection="0">
      <alignment horizontal="right" vertical="top" wrapText="1"/>
    </xf>
    <xf numFmtId="1" fontId="16" fillId="0" borderId="1" applyFont="0" applyFill="0" applyProtection="0">
      <alignment horizontal="right" vertical="top" wrapText="1"/>
    </xf>
    <xf numFmtId="1" fontId="16" fillId="0" borderId="1" applyFont="0" applyFill="0" applyProtection="0">
      <alignment horizontal="right" vertical="top" wrapText="1"/>
    </xf>
    <xf numFmtId="1" fontId="16" fillId="0" borderId="1" applyFont="0" applyFill="0" applyProtection="0">
      <alignment horizontal="right" vertical="top" wrapText="1"/>
    </xf>
    <xf numFmtId="0" fontId="16" fillId="0" borderId="1" applyNumberFormat="0" applyFont="0" applyFill="0" applyProtection="0">
      <alignment horizontal="right"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178" fontId="16" fillId="0" borderId="1"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176" fontId="16" fillId="0" borderId="1" applyFont="0" applyFill="0" applyProtection="0">
      <alignment horizontal="righ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176" fontId="16" fillId="0" borderId="1" applyFont="0" applyFill="0" applyProtection="0">
      <alignment horizontal="right" vertical="top" wrapText="1"/>
    </xf>
    <xf numFmtId="1" fontId="16" fillId="0" borderId="1" applyFont="0" applyFill="0" applyProtection="0">
      <alignment horizontal="righ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1" fontId="16" fillId="0" borderId="1" applyFont="0" applyFill="0" applyProtection="0">
      <alignment horizontal="righ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176" fontId="16" fillId="0" borderId="1" applyFont="0" applyFill="0" applyProtection="0">
      <alignment horizontal="right" vertical="top" wrapText="1"/>
    </xf>
    <xf numFmtId="1" fontId="16" fillId="0" borderId="1" applyFont="0" applyFill="0" applyProtection="0">
      <alignment horizontal="right" vertical="top" wrapText="1"/>
    </xf>
    <xf numFmtId="0" fontId="16" fillId="0" borderId="1" applyNumberFormat="0" applyFont="0" applyFill="0" applyProtection="0">
      <alignment horizontal="left" vertical="top" wrapText="1"/>
    </xf>
    <xf numFmtId="0" fontId="16" fillId="0" borderId="1" applyNumberFormat="0" applyFont="0" applyFill="0" applyProtection="0">
      <alignment horizontal="left" vertical="top" wrapText="1"/>
    </xf>
    <xf numFmtId="40" fontId="50" fillId="0" borderId="0" applyBorder="0">
      <alignment horizontal="right"/>
    </xf>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0" fontId="16" fillId="0" borderId="33" applyNumberFormat="0" applyFont="0" applyBorder="0" applyAlignment="0" applyProtection="0"/>
    <xf numFmtId="37" fontId="28" fillId="3" borderId="0" applyNumberFormat="0" applyBorder="0" applyAlignment="0" applyProtection="0"/>
    <xf numFmtId="37" fontId="28" fillId="0" borderId="0"/>
    <xf numFmtId="37" fontId="28" fillId="4" borderId="0" applyNumberFormat="0" applyBorder="0" applyAlignment="0" applyProtection="0"/>
    <xf numFmtId="3" fontId="51" fillId="0" borderId="36" applyProtection="0"/>
    <xf numFmtId="9" fontId="22"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2" fillId="0" borderId="0"/>
    <xf numFmtId="9" fontId="22" fillId="0" borderId="0" applyFont="0" applyFill="0" applyBorder="0" applyAlignment="0" applyProtection="0"/>
    <xf numFmtId="0" fontId="6" fillId="0" borderId="0"/>
    <xf numFmtId="9" fontId="6" fillId="0" borderId="0" applyFont="0" applyFill="0" applyBorder="0" applyAlignment="0" applyProtection="0"/>
    <xf numFmtId="0" fontId="52" fillId="0" borderId="0"/>
    <xf numFmtId="0" fontId="6" fillId="0" borderId="0"/>
    <xf numFmtId="0" fontId="53" fillId="0" borderId="0"/>
    <xf numFmtId="9" fontId="22" fillId="0" borderId="0" applyFont="0" applyFill="0" applyBorder="0" applyAlignment="0" applyProtection="0"/>
    <xf numFmtId="0" fontId="5" fillId="0" borderId="0"/>
    <xf numFmtId="0" fontId="5" fillId="0" borderId="0"/>
    <xf numFmtId="169" fontId="16" fillId="0" borderId="0"/>
    <xf numFmtId="0" fontId="5" fillId="0" borderId="0"/>
    <xf numFmtId="169" fontId="54" fillId="0" borderId="0"/>
    <xf numFmtId="0" fontId="55" fillId="14" borderId="0">
      <alignment horizontal="right"/>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21" fillId="0" borderId="0"/>
    <xf numFmtId="0" fontId="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4" fillId="0" borderId="0"/>
    <xf numFmtId="43" fontId="21" fillId="0" borderId="0" applyFont="0" applyFill="0" applyBorder="0" applyAlignment="0" applyProtection="0"/>
    <xf numFmtId="44" fontId="21" fillId="0" borderId="0" applyFont="0" applyFill="0" applyBorder="0" applyAlignment="0" applyProtection="0"/>
    <xf numFmtId="0" fontId="4" fillId="0" borderId="0"/>
    <xf numFmtId="0" fontId="4" fillId="0" borderId="0"/>
    <xf numFmtId="0" fontId="4" fillId="0" borderId="0"/>
    <xf numFmtId="0" fontId="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4" fillId="0" borderId="0"/>
    <xf numFmtId="0" fontId="4" fillId="0" borderId="0"/>
    <xf numFmtId="0" fontId="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 fontId="21" fillId="0" borderId="1" applyFont="0" applyFill="0" applyProtection="0">
      <alignment horizontal="right" wrapText="1"/>
    </xf>
    <xf numFmtId="0" fontId="21" fillId="0" borderId="1" applyNumberFormat="0" applyFont="0" applyFill="0" applyProtection="0">
      <alignment horizontal="left" wrapText="1"/>
    </xf>
    <xf numFmtId="176" fontId="21" fillId="0" borderId="1" applyFont="0" applyFill="0" applyProtection="0">
      <alignment horizontal="right" wrapText="1"/>
    </xf>
    <xf numFmtId="177" fontId="21" fillId="0" borderId="1" applyFont="0" applyFill="0" applyProtection="0">
      <alignment horizontal="right" wrapText="1"/>
    </xf>
    <xf numFmtId="176" fontId="21" fillId="0" borderId="1" applyFont="0" applyFill="0" applyProtection="0">
      <alignment horizontal="right" wrapText="1"/>
    </xf>
    <xf numFmtId="176" fontId="21" fillId="0" borderId="1" applyFont="0" applyFill="0" applyProtection="0">
      <alignment horizontal="right" wrapText="1"/>
    </xf>
    <xf numFmtId="176" fontId="21" fillId="0" borderId="1" applyFont="0" applyFill="0" applyProtection="0">
      <alignment horizontal="right" wrapText="1"/>
    </xf>
    <xf numFmtId="176" fontId="21" fillId="0" borderId="1" applyFont="0" applyFill="0" applyProtection="0">
      <alignment horizontal="right" wrapText="1"/>
    </xf>
    <xf numFmtId="176" fontId="21" fillId="0" borderId="1" applyFont="0" applyFill="0" applyProtection="0">
      <alignment horizontal="right" wrapText="1"/>
    </xf>
    <xf numFmtId="176" fontId="21" fillId="0" borderId="1" applyFont="0" applyFill="0" applyProtection="0">
      <alignment horizontal="right" wrapText="1"/>
    </xf>
    <xf numFmtId="176" fontId="21" fillId="0" borderId="1" applyFont="0" applyFill="0" applyProtection="0">
      <alignment horizontal="right" wrapText="1"/>
    </xf>
    <xf numFmtId="0" fontId="21" fillId="0" borderId="1" applyNumberFormat="0" applyFont="0" applyFill="0" applyProtection="0">
      <alignment horizontal="left" wrapText="1"/>
    </xf>
    <xf numFmtId="0" fontId="21" fillId="0" borderId="1" applyNumberFormat="0" applyFont="0" applyFill="0" applyProtection="0">
      <alignment horizontal="left" wrapText="1"/>
    </xf>
    <xf numFmtId="0" fontId="21" fillId="0" borderId="1" applyNumberFormat="0" applyFont="0" applyFill="0" applyProtection="0">
      <alignment horizontal="left" wrapText="1"/>
    </xf>
    <xf numFmtId="0" fontId="21" fillId="0" borderId="1" applyNumberFormat="0" applyFont="0" applyFill="0" applyProtection="0">
      <alignment horizontal="left" wrapText="1"/>
    </xf>
    <xf numFmtId="0" fontId="21" fillId="0" borderId="1" applyNumberFormat="0" applyFont="0" applyFill="0" applyProtection="0">
      <alignment horizontal="left" wrapText="1"/>
    </xf>
    <xf numFmtId="0" fontId="21" fillId="0" borderId="1" applyNumberFormat="0" applyFont="0" applyFill="0" applyProtection="0">
      <alignment horizontal="left" wrapText="1"/>
    </xf>
    <xf numFmtId="0" fontId="21" fillId="0" borderId="1" applyNumberFormat="0" applyFont="0" applyFill="0" applyProtection="0">
      <alignment horizontal="left" wrapText="1"/>
    </xf>
    <xf numFmtId="0" fontId="21" fillId="0" borderId="1" applyNumberFormat="0" applyFont="0" applyFill="0" applyProtection="0">
      <alignment horizontal="left" wrapText="1"/>
    </xf>
    <xf numFmtId="0" fontId="21" fillId="0" borderId="1" applyNumberFormat="0" applyFont="0" applyFill="0" applyProtection="0">
      <alignment horizontal="left" wrapText="1"/>
    </xf>
    <xf numFmtId="0" fontId="21" fillId="0" borderId="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4" fillId="0" borderId="0"/>
    <xf numFmtId="0" fontId="4" fillId="0" borderId="0"/>
    <xf numFmtId="0" fontId="4" fillId="0" borderId="0"/>
    <xf numFmtId="0" fontId="21" fillId="0" borderId="0"/>
    <xf numFmtId="0" fontId="4" fillId="0" borderId="0"/>
    <xf numFmtId="0" fontId="4" fillId="0" borderId="0"/>
    <xf numFmtId="0" fontId="4" fillId="0" borderId="0"/>
    <xf numFmtId="0" fontId="21" fillId="0" borderId="0"/>
    <xf numFmtId="0" fontId="4" fillId="0" borderId="0"/>
    <xf numFmtId="0" fontId="4" fillId="0" borderId="0"/>
    <xf numFmtId="0" fontId="4" fillId="0" borderId="0"/>
    <xf numFmtId="0" fontId="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xf numFmtId="9" fontId="2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xf numFmtId="9" fontId="21"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21" fillId="0" borderId="0" applyFont="0" applyFill="0" applyBorder="0" applyAlignment="0" applyProtection="0"/>
    <xf numFmtId="0" fontId="4" fillId="0" borderId="0"/>
    <xf numFmtId="0" fontId="4" fillId="0" borderId="0"/>
    <xf numFmtId="0" fontId="4" fillId="0" borderId="0"/>
    <xf numFmtId="0" fontId="3" fillId="0" borderId="0"/>
    <xf numFmtId="0" fontId="2" fillId="0" borderId="0"/>
    <xf numFmtId="0" fontId="2" fillId="0" borderId="0"/>
    <xf numFmtId="0" fontId="2" fillId="0" borderId="0"/>
    <xf numFmtId="0" fontId="2" fillId="0" borderId="0"/>
    <xf numFmtId="0" fontId="2" fillId="0" borderId="0"/>
    <xf numFmtId="0" fontId="21" fillId="0" borderId="0"/>
    <xf numFmtId="0" fontId="1" fillId="0" borderId="0"/>
    <xf numFmtId="0" fontId="1" fillId="0" borderId="0"/>
    <xf numFmtId="0" fontId="1" fillId="0" borderId="0"/>
    <xf numFmtId="0" fontId="1" fillId="0" borderId="0"/>
  </cellStyleXfs>
  <cellXfs count="491">
    <xf numFmtId="0" fontId="0" fillId="0" borderId="0" xfId="0"/>
    <xf numFmtId="0" fontId="56" fillId="0" borderId="0" xfId="0" applyFont="1" applyAlignment="1">
      <alignment horizontal="center"/>
    </xf>
    <xf numFmtId="0" fontId="33" fillId="0" borderId="0" xfId="0" applyFont="1"/>
    <xf numFmtId="0" fontId="33" fillId="0" borderId="0" xfId="0" applyFont="1" applyAlignment="1">
      <alignment horizontal="center"/>
    </xf>
    <xf numFmtId="0" fontId="65" fillId="0" borderId="10" xfId="4" applyFont="1" applyBorder="1" applyAlignment="1">
      <alignment horizontal="center"/>
    </xf>
    <xf numFmtId="0" fontId="65" fillId="0" borderId="11" xfId="4" applyFont="1" applyBorder="1" applyAlignment="1">
      <alignment horizontal="center"/>
    </xf>
    <xf numFmtId="0" fontId="62" fillId="0" borderId="0" xfId="0" applyFont="1"/>
    <xf numFmtId="0" fontId="72" fillId="0" borderId="0" xfId="9" applyFont="1"/>
    <xf numFmtId="0" fontId="63" fillId="0" borderId="0" xfId="0" applyFont="1"/>
    <xf numFmtId="0" fontId="73" fillId="0" borderId="0" xfId="0" applyFont="1"/>
    <xf numFmtId="0" fontId="33" fillId="0" borderId="16" xfId="0" applyFont="1" applyBorder="1"/>
    <xf numFmtId="0" fontId="33" fillId="0" borderId="16" xfId="0" applyFont="1" applyBorder="1" applyAlignment="1">
      <alignment horizontal="center"/>
    </xf>
    <xf numFmtId="0" fontId="33" fillId="0" borderId="8" xfId="0" applyFont="1" applyBorder="1" applyAlignment="1">
      <alignment horizontal="centerContinuous"/>
    </xf>
    <xf numFmtId="0" fontId="33" fillId="0" borderId="10" xfId="0" applyFont="1" applyBorder="1" applyAlignment="1">
      <alignment horizontal="centerContinuous"/>
    </xf>
    <xf numFmtId="0" fontId="33" fillId="0" borderId="2" xfId="0" applyFont="1" applyBorder="1"/>
    <xf numFmtId="0" fontId="33" fillId="0" borderId="2" xfId="0" applyFont="1" applyBorder="1" applyAlignment="1">
      <alignment horizontal="center"/>
    </xf>
    <xf numFmtId="0" fontId="33" fillId="0" borderId="12" xfId="0" applyFont="1" applyBorder="1" applyAlignment="1">
      <alignment horizontal="centerContinuous"/>
    </xf>
    <xf numFmtId="0" fontId="33" fillId="0" borderId="14" xfId="0" applyFont="1" applyBorder="1" applyAlignment="1">
      <alignment horizontal="centerContinuous"/>
    </xf>
    <xf numFmtId="0" fontId="33" fillId="0" borderId="40" xfId="0" applyFont="1" applyBorder="1"/>
    <xf numFmtId="0" fontId="33" fillId="0" borderId="40" xfId="0" applyFont="1" applyBorder="1" applyAlignment="1">
      <alignment horizontal="center"/>
    </xf>
    <xf numFmtId="0" fontId="33" fillId="0" borderId="1" xfId="0" applyFont="1" applyBorder="1"/>
    <xf numFmtId="0" fontId="33" fillId="0" borderId="1" xfId="0" applyFont="1" applyBorder="1" applyAlignment="1">
      <alignment horizontal="center"/>
    </xf>
    <xf numFmtId="2" fontId="33" fillId="0" borderId="1" xfId="0" applyNumberFormat="1" applyFont="1" applyBorder="1" applyAlignment="1">
      <alignment horizontal="center"/>
    </xf>
    <xf numFmtId="4" fontId="33" fillId="0" borderId="1" xfId="0" applyNumberFormat="1" applyFont="1" applyBorder="1" applyAlignment="1">
      <alignment horizontal="center"/>
    </xf>
    <xf numFmtId="3" fontId="33" fillId="0" borderId="1" xfId="0" applyNumberFormat="1" applyFont="1" applyBorder="1" applyAlignment="1">
      <alignment horizontal="center"/>
    </xf>
    <xf numFmtId="0" fontId="33" fillId="0" borderId="1" xfId="0" applyFont="1" applyBorder="1" applyAlignment="1">
      <alignment horizontal="right"/>
    </xf>
    <xf numFmtId="0" fontId="33" fillId="15" borderId="1" xfId="0" applyFont="1" applyFill="1" applyBorder="1"/>
    <xf numFmtId="0" fontId="33" fillId="15" borderId="15" xfId="0" applyFont="1" applyFill="1" applyBorder="1"/>
    <xf numFmtId="4" fontId="33" fillId="0" borderId="1" xfId="0" applyNumberFormat="1" applyFont="1" applyBorder="1"/>
    <xf numFmtId="3" fontId="33" fillId="0" borderId="1" xfId="0" applyNumberFormat="1" applyFont="1" applyBorder="1"/>
    <xf numFmtId="2" fontId="33" fillId="0" borderId="1" xfId="0" applyNumberFormat="1" applyFont="1" applyBorder="1"/>
    <xf numFmtId="168" fontId="33" fillId="0" borderId="1" xfId="0" applyNumberFormat="1" applyFont="1" applyBorder="1"/>
    <xf numFmtId="2" fontId="33" fillId="0" borderId="0" xfId="0" applyNumberFormat="1" applyFont="1"/>
    <xf numFmtId="165" fontId="33" fillId="0" borderId="1" xfId="0" applyNumberFormat="1" applyFont="1" applyBorder="1" applyAlignment="1">
      <alignment horizontal="center"/>
    </xf>
    <xf numFmtId="0" fontId="56" fillId="0" borderId="0" xfId="0" applyFont="1"/>
    <xf numFmtId="168" fontId="33" fillId="0" borderId="1" xfId="0" applyNumberFormat="1" applyFont="1" applyBorder="1" applyAlignment="1">
      <alignment horizontal="center"/>
    </xf>
    <xf numFmtId="0" fontId="33" fillId="0" borderId="0" xfId="0" quotePrefix="1" applyFont="1"/>
    <xf numFmtId="3" fontId="33" fillId="0" borderId="0" xfId="0" applyNumberFormat="1" applyFont="1"/>
    <xf numFmtId="0" fontId="63" fillId="0" borderId="0" xfId="8" applyFont="1"/>
    <xf numFmtId="0" fontId="75" fillId="2" borderId="53" xfId="0" applyFont="1" applyFill="1" applyBorder="1" applyAlignment="1">
      <alignment horizontal="center" vertical="center"/>
    </xf>
    <xf numFmtId="0" fontId="75" fillId="2" borderId="46" xfId="0" applyFont="1" applyFill="1" applyBorder="1" applyAlignment="1">
      <alignment horizontal="centerContinuous" vertical="center" wrapText="1"/>
    </xf>
    <xf numFmtId="0" fontId="75" fillId="2" borderId="37" xfId="0" applyFont="1" applyFill="1" applyBorder="1" applyAlignment="1">
      <alignment horizontal="centerContinuous" vertical="center" wrapText="1"/>
    </xf>
    <xf numFmtId="0" fontId="75" fillId="2" borderId="19" xfId="0" applyFont="1" applyFill="1" applyBorder="1" applyAlignment="1">
      <alignment horizontal="centerContinuous" vertical="center" wrapText="1"/>
    </xf>
    <xf numFmtId="0" fontId="75" fillId="2" borderId="45" xfId="0" applyFont="1" applyFill="1" applyBorder="1" applyAlignment="1">
      <alignment horizontal="center" vertical="center" wrapText="1"/>
    </xf>
    <xf numFmtId="0" fontId="75" fillId="2" borderId="22" xfId="0" applyFont="1" applyFill="1" applyBorder="1" applyAlignment="1">
      <alignment horizontal="center" vertical="center" wrapText="1"/>
    </xf>
    <xf numFmtId="0" fontId="75" fillId="2" borderId="4" xfId="0" applyFont="1" applyFill="1" applyBorder="1" applyAlignment="1">
      <alignment horizontal="center" vertical="center" wrapText="1"/>
    </xf>
    <xf numFmtId="0" fontId="76" fillId="0" borderId="54" xfId="1776" applyFont="1" applyBorder="1" applyAlignment="1">
      <alignment horizontal="center"/>
    </xf>
    <xf numFmtId="0" fontId="76" fillId="0" borderId="56" xfId="1776" applyFont="1" applyBorder="1" applyAlignment="1">
      <alignment horizontal="center"/>
    </xf>
    <xf numFmtId="0" fontId="76" fillId="0" borderId="6" xfId="1776" applyFont="1" applyBorder="1" applyAlignment="1">
      <alignment horizontal="center"/>
    </xf>
    <xf numFmtId="3" fontId="76" fillId="0" borderId="6" xfId="1776" applyNumberFormat="1" applyFont="1" applyBorder="1" applyAlignment="1">
      <alignment horizontal="center"/>
    </xf>
    <xf numFmtId="4" fontId="76" fillId="0" borderId="6" xfId="1776" applyNumberFormat="1" applyFont="1" applyBorder="1" applyAlignment="1">
      <alignment horizontal="center"/>
    </xf>
    <xf numFmtId="4" fontId="76" fillId="0" borderId="44" xfId="1776" applyNumberFormat="1" applyFont="1" applyBorder="1" applyAlignment="1">
      <alignment horizontal="center"/>
    </xf>
    <xf numFmtId="0" fontId="76" fillId="0" borderId="57" xfId="1776" applyFont="1" applyBorder="1" applyAlignment="1">
      <alignment horizontal="center"/>
    </xf>
    <xf numFmtId="0" fontId="76" fillId="0" borderId="58" xfId="1776" applyFont="1" applyBorder="1" applyAlignment="1">
      <alignment horizontal="center"/>
    </xf>
    <xf numFmtId="3" fontId="76" fillId="0" borderId="58" xfId="1776" applyNumberFormat="1" applyFont="1" applyBorder="1" applyAlignment="1">
      <alignment horizontal="center"/>
    </xf>
    <xf numFmtId="4" fontId="76" fillId="0" borderId="58" xfId="1776" applyNumberFormat="1" applyFont="1" applyBorder="1" applyAlignment="1">
      <alignment horizontal="center"/>
    </xf>
    <xf numFmtId="4" fontId="76" fillId="0" borderId="52" xfId="1776" applyNumberFormat="1" applyFont="1" applyBorder="1" applyAlignment="1">
      <alignment horizontal="center"/>
    </xf>
    <xf numFmtId="0" fontId="75" fillId="2" borderId="46" xfId="0" applyFont="1" applyFill="1" applyBorder="1" applyAlignment="1">
      <alignment horizontal="center" vertical="center"/>
    </xf>
    <xf numFmtId="0" fontId="75" fillId="2" borderId="46" xfId="0" applyFont="1" applyFill="1" applyBorder="1" applyAlignment="1">
      <alignment horizontal="center" vertical="center" wrapText="1"/>
    </xf>
    <xf numFmtId="0" fontId="75" fillId="2" borderId="66" xfId="0" applyFont="1" applyFill="1" applyBorder="1" applyAlignment="1">
      <alignment horizontal="center" vertical="center" wrapText="1"/>
    </xf>
    <xf numFmtId="1" fontId="76" fillId="0" borderId="61" xfId="1776" applyNumberFormat="1" applyFont="1" applyBorder="1" applyAlignment="1">
      <alignment horizontal="center"/>
    </xf>
    <xf numFmtId="2" fontId="76" fillId="0" borderId="7" xfId="1776" applyNumberFormat="1" applyFont="1" applyBorder="1" applyAlignment="1">
      <alignment horizontal="center"/>
    </xf>
    <xf numFmtId="2" fontId="76" fillId="0" borderId="6" xfId="1776" applyNumberFormat="1" applyFont="1" applyBorder="1" applyAlignment="1">
      <alignment horizontal="center"/>
    </xf>
    <xf numFmtId="2" fontId="76" fillId="0" borderId="61" xfId="1776" applyNumberFormat="1" applyFont="1" applyBorder="1" applyAlignment="1">
      <alignment horizontal="center"/>
    </xf>
    <xf numFmtId="1" fontId="76" fillId="0" borderId="63" xfId="1776" applyNumberFormat="1" applyFont="1" applyBorder="1" applyAlignment="1">
      <alignment horizontal="center"/>
    </xf>
    <xf numFmtId="2" fontId="76" fillId="0" borderId="51" xfId="1776" applyNumberFormat="1" applyFont="1" applyBorder="1" applyAlignment="1">
      <alignment horizontal="center"/>
    </xf>
    <xf numFmtId="2" fontId="76" fillId="0" borderId="58" xfId="1776" applyNumberFormat="1" applyFont="1" applyBorder="1" applyAlignment="1">
      <alignment horizontal="center"/>
    </xf>
    <xf numFmtId="2" fontId="76" fillId="0" borderId="63" xfId="1776" applyNumberFormat="1" applyFont="1" applyBorder="1" applyAlignment="1">
      <alignment horizontal="center"/>
    </xf>
    <xf numFmtId="0" fontId="76" fillId="0" borderId="59" xfId="1776" applyFont="1" applyBorder="1" applyAlignment="1">
      <alignment horizontal="center" wrapText="1"/>
    </xf>
    <xf numFmtId="0" fontId="76" fillId="0" borderId="60" xfId="1776" applyFont="1" applyBorder="1" applyAlignment="1">
      <alignment horizontal="center"/>
    </xf>
    <xf numFmtId="168" fontId="76" fillId="0" borderId="1" xfId="1776" applyNumberFormat="1" applyFont="1" applyBorder="1" applyAlignment="1">
      <alignment horizontal="center"/>
    </xf>
    <xf numFmtId="184" fontId="76" fillId="0" borderId="1" xfId="1776" applyNumberFormat="1" applyFont="1" applyBorder="1" applyAlignment="1">
      <alignment horizontal="center"/>
    </xf>
    <xf numFmtId="184" fontId="76" fillId="0" borderId="62" xfId="1776" applyNumberFormat="1" applyFont="1" applyBorder="1" applyAlignment="1">
      <alignment horizontal="center"/>
    </xf>
    <xf numFmtId="0" fontId="33" fillId="0" borderId="0" xfId="0" applyFont="1" applyAlignment="1">
      <alignment wrapText="1"/>
    </xf>
    <xf numFmtId="3" fontId="33" fillId="0" borderId="0" xfId="0" applyNumberFormat="1" applyFont="1" applyAlignment="1">
      <alignment horizontal="center"/>
    </xf>
    <xf numFmtId="0" fontId="33" fillId="0" borderId="9" xfId="0" applyFont="1" applyBorder="1" applyAlignment="1">
      <alignment horizontal="centerContinuous"/>
    </xf>
    <xf numFmtId="0" fontId="33" fillId="0" borderId="5" xfId="0" applyFont="1" applyBorder="1" applyAlignment="1">
      <alignment horizontal="centerContinuous"/>
    </xf>
    <xf numFmtId="0" fontId="33" fillId="0" borderId="11" xfId="0" applyFont="1" applyBorder="1" applyAlignment="1">
      <alignment horizontal="centerContinuous"/>
    </xf>
    <xf numFmtId="0" fontId="33" fillId="0" borderId="13" xfId="0" applyFont="1" applyBorder="1" applyAlignment="1">
      <alignment horizontal="centerContinuous"/>
    </xf>
    <xf numFmtId="0" fontId="33" fillId="0" borderId="0" xfId="0" applyFont="1" applyAlignment="1">
      <alignment horizontal="left"/>
    </xf>
    <xf numFmtId="0" fontId="33" fillId="0" borderId="0" xfId="0" quotePrefix="1" applyFont="1" applyAlignment="1">
      <alignment horizontal="left"/>
    </xf>
    <xf numFmtId="0" fontId="59" fillId="0" borderId="0" xfId="4" applyFont="1"/>
    <xf numFmtId="0" fontId="61" fillId="0" borderId="0" xfId="4" applyFont="1"/>
    <xf numFmtId="0" fontId="61" fillId="0" borderId="0" xfId="4" applyFont="1" applyAlignment="1">
      <alignment horizontal="center"/>
    </xf>
    <xf numFmtId="0" fontId="33" fillId="0" borderId="0" xfId="4" applyFont="1" applyAlignment="1">
      <alignment horizontal="center"/>
    </xf>
    <xf numFmtId="0" fontId="33" fillId="0" borderId="0" xfId="4" applyFont="1"/>
    <xf numFmtId="0" fontId="61" fillId="0" borderId="0" xfId="1" applyFont="1"/>
    <xf numFmtId="0" fontId="61" fillId="0" borderId="0" xfId="1" applyFont="1" applyAlignment="1">
      <alignment horizontal="center"/>
    </xf>
    <xf numFmtId="0" fontId="59" fillId="0" borderId="0" xfId="0" applyFont="1" applyAlignment="1">
      <alignment horizontal="center"/>
    </xf>
    <xf numFmtId="0" fontId="33" fillId="0" borderId="0" xfId="1" applyFont="1"/>
    <xf numFmtId="0" fontId="59" fillId="0" borderId="0" xfId="1" applyFont="1" applyAlignment="1">
      <alignment horizontal="center"/>
    </xf>
    <xf numFmtId="0" fontId="33" fillId="0" borderId="0" xfId="1" applyFont="1" applyAlignment="1">
      <alignment horizontal="center"/>
    </xf>
    <xf numFmtId="0" fontId="72" fillId="0" borderId="0" xfId="0" applyFont="1"/>
    <xf numFmtId="0" fontId="59" fillId="0" borderId="0" xfId="8" applyFont="1" applyAlignment="1">
      <alignment horizontal="center"/>
    </xf>
    <xf numFmtId="0" fontId="33" fillId="0" borderId="0" xfId="8" applyFont="1" applyAlignment="1">
      <alignment horizontal="center"/>
    </xf>
    <xf numFmtId="0" fontId="33" fillId="0" borderId="0" xfId="8" applyFont="1"/>
    <xf numFmtId="0" fontId="59" fillId="0" borderId="0" xfId="8" applyFont="1"/>
    <xf numFmtId="0" fontId="64" fillId="0" borderId="0" xfId="4" applyFont="1" applyAlignment="1">
      <alignment horizontal="left"/>
    </xf>
    <xf numFmtId="0" fontId="65" fillId="0" borderId="0" xfId="4" applyFont="1" applyAlignment="1">
      <alignment horizontal="center" wrapText="1"/>
    </xf>
    <xf numFmtId="0" fontId="65" fillId="0" borderId="0" xfId="4" applyFont="1"/>
    <xf numFmtId="0" fontId="65" fillId="0" borderId="0" xfId="4" applyFont="1" applyAlignment="1">
      <alignment horizontal="center"/>
    </xf>
    <xf numFmtId="0" fontId="56" fillId="0" borderId="0" xfId="4" applyFont="1" applyAlignment="1">
      <alignment horizontal="left"/>
    </xf>
    <xf numFmtId="0" fontId="65" fillId="0" borderId="0" xfId="13" applyFont="1" applyAlignment="1">
      <alignment horizontal="left" vertical="center"/>
    </xf>
    <xf numFmtId="0" fontId="65" fillId="0" borderId="0" xfId="13" applyFont="1"/>
    <xf numFmtId="0" fontId="71" fillId="0" borderId="0" xfId="13" applyFont="1"/>
    <xf numFmtId="0" fontId="56" fillId="0" borderId="0" xfId="13" applyFont="1"/>
    <xf numFmtId="0" fontId="33" fillId="0" borderId="0" xfId="13" applyFont="1"/>
    <xf numFmtId="0" fontId="66" fillId="0" borderId="0" xfId="13" applyFont="1" applyAlignment="1">
      <alignment horizontal="left" vertical="center"/>
    </xf>
    <xf numFmtId="0" fontId="66" fillId="0" borderId="0" xfId="4" applyFont="1"/>
    <xf numFmtId="3" fontId="65" fillId="0" borderId="0" xfId="4" applyNumberFormat="1" applyFont="1" applyAlignment="1">
      <alignment horizontal="center" wrapText="1"/>
    </xf>
    <xf numFmtId="0" fontId="65" fillId="0" borderId="0" xfId="4" applyFont="1" applyAlignment="1">
      <alignment horizontal="left"/>
    </xf>
    <xf numFmtId="0" fontId="66" fillId="0" borderId="0" xfId="4" applyFont="1" applyAlignment="1">
      <alignment horizontal="center"/>
    </xf>
    <xf numFmtId="0" fontId="56" fillId="0" borderId="0" xfId="4" applyFont="1" applyAlignment="1">
      <alignment horizontal="center"/>
    </xf>
    <xf numFmtId="0" fontId="33" fillId="0" borderId="0" xfId="4" applyFont="1" applyAlignment="1">
      <alignment horizontal="left"/>
    </xf>
    <xf numFmtId="0" fontId="66" fillId="0" borderId="0" xfId="4" applyFont="1" applyAlignment="1">
      <alignment vertical="top"/>
    </xf>
    <xf numFmtId="4" fontId="65" fillId="0" borderId="0" xfId="4" applyNumberFormat="1" applyFont="1" applyAlignment="1">
      <alignment horizontal="center" vertical="top" wrapText="1"/>
    </xf>
    <xf numFmtId="0" fontId="63" fillId="0" borderId="0" xfId="4" applyFont="1" applyAlignment="1">
      <alignment vertical="top"/>
    </xf>
    <xf numFmtId="3" fontId="33" fillId="0" borderId="0" xfId="4" applyNumberFormat="1" applyFont="1"/>
    <xf numFmtId="0" fontId="65" fillId="0" borderId="8" xfId="4" applyFont="1" applyBorder="1"/>
    <xf numFmtId="0" fontId="65" fillId="0" borderId="9" xfId="4" applyFont="1" applyBorder="1"/>
    <xf numFmtId="0" fontId="65" fillId="0" borderId="9" xfId="4" applyFont="1" applyBorder="1" applyAlignment="1">
      <alignment horizontal="center" wrapText="1"/>
    </xf>
    <xf numFmtId="0" fontId="66" fillId="0" borderId="5" xfId="4" applyFont="1" applyBorder="1" applyAlignment="1">
      <alignment horizontal="left" vertical="center" wrapText="1"/>
    </xf>
    <xf numFmtId="0" fontId="66" fillId="0" borderId="0" xfId="4" applyFont="1" applyAlignment="1">
      <alignment horizontal="center" vertical="center" wrapText="1"/>
    </xf>
    <xf numFmtId="0" fontId="66" fillId="0" borderId="11" xfId="4" applyFont="1" applyBorder="1" applyAlignment="1">
      <alignment horizontal="center" vertical="center" wrapText="1"/>
    </xf>
    <xf numFmtId="0" fontId="56" fillId="0" borderId="0" xfId="4" applyFont="1" applyAlignment="1">
      <alignment horizontal="center" vertical="center" wrapText="1"/>
    </xf>
    <xf numFmtId="0" fontId="56" fillId="0" borderId="0" xfId="4" applyFont="1" applyAlignment="1">
      <alignment horizontal="center" vertical="center"/>
    </xf>
    <xf numFmtId="0" fontId="66" fillId="0" borderId="0" xfId="4" applyFont="1" applyAlignment="1">
      <alignment horizontal="center" vertical="center"/>
    </xf>
    <xf numFmtId="0" fontId="65" fillId="0" borderId="5" xfId="4" applyFont="1" applyBorder="1"/>
    <xf numFmtId="0" fontId="65" fillId="0" borderId="9" xfId="4" applyFont="1" applyBorder="1" applyAlignment="1">
      <alignment horizontal="center"/>
    </xf>
    <xf numFmtId="0" fontId="68" fillId="0" borderId="5" xfId="4" applyFont="1" applyBorder="1"/>
    <xf numFmtId="0" fontId="68" fillId="0" borderId="0" xfId="4" applyFont="1"/>
    <xf numFmtId="0" fontId="69" fillId="0" borderId="0" xfId="4" applyFont="1" applyAlignment="1">
      <alignment horizontal="center" wrapText="1"/>
    </xf>
    <xf numFmtId="0" fontId="33" fillId="0" borderId="5" xfId="4" applyFont="1" applyBorder="1" applyAlignment="1">
      <alignment horizontal="left" vertical="center"/>
    </xf>
    <xf numFmtId="11" fontId="33" fillId="0" borderId="0" xfId="6" applyNumberFormat="1" applyFont="1" applyAlignment="1">
      <alignment horizontal="center"/>
    </xf>
    <xf numFmtId="2" fontId="33" fillId="0" borderId="0" xfId="6" applyNumberFormat="1" applyFont="1" applyAlignment="1">
      <alignment horizontal="center"/>
    </xf>
    <xf numFmtId="166" fontId="33" fillId="0" borderId="0" xfId="4" quotePrefix="1" applyNumberFormat="1" applyFont="1" applyAlignment="1">
      <alignment horizontal="center" wrapText="1"/>
    </xf>
    <xf numFmtId="2" fontId="33" fillId="0" borderId="0" xfId="4" applyNumberFormat="1" applyFont="1"/>
    <xf numFmtId="0" fontId="33" fillId="0" borderId="0" xfId="4" applyFont="1" applyAlignment="1">
      <alignment horizontal="left" vertical="center"/>
    </xf>
    <xf numFmtId="4" fontId="33" fillId="0" borderId="0" xfId="4" applyNumberFormat="1" applyFont="1" applyAlignment="1">
      <alignment horizontal="center" wrapText="1"/>
    </xf>
    <xf numFmtId="3" fontId="33" fillId="0" borderId="0" xfId="4" quotePrefix="1" applyNumberFormat="1" applyFont="1" applyAlignment="1">
      <alignment horizontal="center" wrapText="1"/>
    </xf>
    <xf numFmtId="4" fontId="33" fillId="0" borderId="0" xfId="4" quotePrefix="1" applyNumberFormat="1" applyFont="1" applyAlignment="1">
      <alignment horizontal="center" wrapText="1"/>
    </xf>
    <xf numFmtId="4" fontId="65" fillId="0" borderId="11" xfId="4" quotePrefix="1" applyNumberFormat="1" applyFont="1" applyBorder="1" applyAlignment="1">
      <alignment horizontal="center"/>
    </xf>
    <xf numFmtId="4" fontId="33" fillId="0" borderId="0" xfId="4" quotePrefix="1" applyNumberFormat="1" applyFont="1" applyAlignment="1">
      <alignment horizontal="center"/>
    </xf>
    <xf numFmtId="4" fontId="33" fillId="0" borderId="0" xfId="6" applyNumberFormat="1" applyFont="1" applyAlignment="1">
      <alignment horizontal="center"/>
    </xf>
    <xf numFmtId="0" fontId="71" fillId="0" borderId="8" xfId="6" applyFont="1" applyBorder="1"/>
    <xf numFmtId="0" fontId="33" fillId="0" borderId="9" xfId="6" applyFont="1" applyBorder="1"/>
    <xf numFmtId="4" fontId="33" fillId="0" borderId="9" xfId="6" applyNumberFormat="1" applyFont="1" applyBorder="1" applyAlignment="1">
      <alignment horizontal="center"/>
    </xf>
    <xf numFmtId="4" fontId="33" fillId="0" borderId="9" xfId="7" applyNumberFormat="1" applyFont="1" applyFill="1" applyBorder="1" applyAlignment="1">
      <alignment horizontal="center"/>
    </xf>
    <xf numFmtId="0" fontId="33" fillId="0" borderId="5" xfId="6" applyFont="1" applyBorder="1"/>
    <xf numFmtId="4" fontId="33" fillId="0" borderId="0" xfId="7" applyNumberFormat="1" applyFont="1" applyFill="1" applyBorder="1" applyAlignment="1">
      <alignment horizontal="center"/>
    </xf>
    <xf numFmtId="0" fontId="33" fillId="0" borderId="12" xfId="6" applyFont="1" applyBorder="1"/>
    <xf numFmtId="11" fontId="33" fillId="0" borderId="13" xfId="6" applyNumberFormat="1" applyFont="1" applyBorder="1" applyAlignment="1">
      <alignment horizontal="center"/>
    </xf>
    <xf numFmtId="4" fontId="33" fillId="0" borderId="13" xfId="7" applyNumberFormat="1" applyFont="1" applyFill="1" applyBorder="1" applyAlignment="1">
      <alignment horizontal="center"/>
    </xf>
    <xf numFmtId="0" fontId="65" fillId="0" borderId="13" xfId="4" applyFont="1" applyBorder="1" applyAlignment="1">
      <alignment horizontal="center"/>
    </xf>
    <xf numFmtId="0" fontId="66" fillId="0" borderId="0" xfId="0" applyFont="1" applyAlignment="1">
      <alignment horizontal="left"/>
    </xf>
    <xf numFmtId="0" fontId="65" fillId="0" borderId="0" xfId="0" applyFont="1"/>
    <xf numFmtId="0" fontId="78" fillId="0" borderId="0" xfId="2052" applyFont="1" applyAlignment="1" applyProtection="1">
      <alignment horizontal="right"/>
      <protection locked="0"/>
    </xf>
    <xf numFmtId="0" fontId="33" fillId="0" borderId="0" xfId="2052" applyFont="1" applyAlignment="1" applyProtection="1">
      <alignment horizontal="right"/>
      <protection locked="0"/>
    </xf>
    <xf numFmtId="0" fontId="33" fillId="0" borderId="0" xfId="0" applyFont="1" applyAlignment="1" applyProtection="1">
      <alignment horizontal="center"/>
      <protection locked="0"/>
    </xf>
    <xf numFmtId="0" fontId="33" fillId="0" borderId="0" xfId="2052" applyFont="1" applyAlignment="1" applyProtection="1">
      <alignment horizontal="left"/>
      <protection locked="0"/>
    </xf>
    <xf numFmtId="0" fontId="33" fillId="0" borderId="0" xfId="0" applyFont="1" applyAlignment="1" applyProtection="1">
      <alignment wrapText="1"/>
      <protection locked="0"/>
    </xf>
    <xf numFmtId="0" fontId="58" fillId="0" borderId="0" xfId="0" applyFont="1" applyProtection="1">
      <protection locked="0"/>
    </xf>
    <xf numFmtId="0" fontId="33" fillId="0" borderId="22" xfId="0" applyFont="1" applyBorder="1" applyAlignment="1">
      <alignment horizontal="center"/>
    </xf>
    <xf numFmtId="0" fontId="33" fillId="0" borderId="17" xfId="0" applyFont="1" applyBorder="1" applyAlignment="1" applyProtection="1">
      <alignment wrapText="1"/>
      <protection locked="0"/>
    </xf>
    <xf numFmtId="0" fontId="33" fillId="0" borderId="46" xfId="0" applyFont="1" applyBorder="1" applyAlignment="1" applyProtection="1">
      <alignment wrapText="1"/>
      <protection locked="0"/>
    </xf>
    <xf numFmtId="0" fontId="33" fillId="0" borderId="37" xfId="0" applyFont="1" applyBorder="1" applyAlignment="1">
      <alignment horizontal="center"/>
    </xf>
    <xf numFmtId="0" fontId="56" fillId="0" borderId="5" xfId="0" applyFont="1" applyBorder="1" applyAlignment="1" applyProtection="1">
      <alignment horizontal="center" wrapText="1"/>
      <protection locked="0"/>
    </xf>
    <xf numFmtId="0" fontId="56" fillId="0" borderId="11" xfId="0" applyFont="1" applyBorder="1" applyAlignment="1">
      <alignment horizontal="center"/>
    </xf>
    <xf numFmtId="0" fontId="56" fillId="0" borderId="5" xfId="0" applyFont="1" applyBorder="1" applyAlignment="1">
      <alignment horizontal="center"/>
    </xf>
    <xf numFmtId="0" fontId="56" fillId="0" borderId="3" xfId="0" applyFont="1" applyBorder="1" applyAlignment="1">
      <alignment horizontal="center"/>
    </xf>
    <xf numFmtId="0" fontId="56" fillId="0" borderId="11" xfId="0" applyFont="1" applyBorder="1" applyAlignment="1" applyProtection="1">
      <alignment horizontal="center"/>
      <protection locked="0"/>
    </xf>
    <xf numFmtId="0" fontId="56" fillId="0" borderId="5" xfId="2052" applyFont="1" applyBorder="1" applyAlignment="1" applyProtection="1">
      <alignment horizontal="center" wrapText="1"/>
      <protection locked="0"/>
    </xf>
    <xf numFmtId="0" fontId="56" fillId="0" borderId="0" xfId="2052" applyFont="1" applyAlignment="1" applyProtection="1">
      <alignment horizontal="center" wrapText="1"/>
      <protection locked="0"/>
    </xf>
    <xf numFmtId="0" fontId="56" fillId="0" borderId="3" xfId="2052" applyFont="1" applyBorder="1" applyAlignment="1" applyProtection="1">
      <alignment horizontal="center" wrapText="1"/>
      <protection locked="0"/>
    </xf>
    <xf numFmtId="0" fontId="56" fillId="0" borderId="47" xfId="0" applyFont="1" applyBorder="1" applyAlignment="1" applyProtection="1">
      <alignment horizontal="center" wrapText="1"/>
      <protection locked="0"/>
    </xf>
    <xf numFmtId="0" fontId="56" fillId="0" borderId="12" xfId="0" applyFont="1" applyBorder="1" applyAlignment="1" applyProtection="1">
      <alignment horizontal="center" wrapText="1"/>
      <protection locked="0"/>
    </xf>
    <xf numFmtId="0" fontId="56" fillId="0" borderId="14" xfId="0" applyFont="1" applyBorder="1" applyAlignment="1" applyProtection="1">
      <alignment horizontal="center"/>
      <protection locked="0"/>
    </xf>
    <xf numFmtId="0" fontId="56" fillId="0" borderId="12" xfId="2052" applyFont="1" applyBorder="1" applyAlignment="1" applyProtection="1">
      <alignment horizontal="center" wrapText="1"/>
      <protection locked="0"/>
    </xf>
    <xf numFmtId="0" fontId="56" fillId="0" borderId="13" xfId="2052" applyFont="1" applyBorder="1" applyAlignment="1" applyProtection="1">
      <alignment horizontal="center" wrapText="1"/>
      <protection locked="0"/>
    </xf>
    <xf numFmtId="0" fontId="56" fillId="0" borderId="43" xfId="2052" applyFont="1" applyBorder="1" applyAlignment="1" applyProtection="1">
      <alignment horizontal="center" wrapText="1"/>
      <protection locked="0"/>
    </xf>
    <xf numFmtId="0" fontId="33" fillId="0" borderId="20" xfId="0" applyFont="1" applyBorder="1" applyAlignment="1" applyProtection="1">
      <alignment horizontal="center" wrapText="1"/>
      <protection locked="0"/>
    </xf>
    <xf numFmtId="165" fontId="33" fillId="0" borderId="5" xfId="0" applyNumberFormat="1" applyFont="1" applyBorder="1" applyAlignment="1" applyProtection="1">
      <alignment horizontal="center" wrapText="1"/>
      <protection locked="0"/>
    </xf>
    <xf numFmtId="0" fontId="33" fillId="0" borderId="11" xfId="0" applyFont="1" applyBorder="1" applyAlignment="1" applyProtection="1">
      <alignment horizontal="center"/>
      <protection locked="0"/>
    </xf>
    <xf numFmtId="184" fontId="33" fillId="0" borderId="5" xfId="0" applyNumberFormat="1" applyFont="1" applyBorder="1" applyAlignment="1">
      <alignment horizontal="center"/>
    </xf>
    <xf numFmtId="184" fontId="33" fillId="0" borderId="0" xfId="0" applyNumberFormat="1" applyFont="1" applyAlignment="1">
      <alignment horizontal="center"/>
    </xf>
    <xf numFmtId="184" fontId="33" fillId="0" borderId="3" xfId="0" applyNumberFormat="1" applyFont="1" applyBorder="1" applyAlignment="1">
      <alignment horizontal="center"/>
    </xf>
    <xf numFmtId="0" fontId="59" fillId="0" borderId="0" xfId="0" applyFont="1"/>
    <xf numFmtId="0" fontId="33" fillId="0" borderId="21" xfId="0" applyFont="1" applyBorder="1" applyAlignment="1" applyProtection="1">
      <alignment horizontal="center" wrapText="1"/>
      <protection locked="0"/>
    </xf>
    <xf numFmtId="0" fontId="33" fillId="0" borderId="45" xfId="0" applyFont="1" applyBorder="1" applyAlignment="1" applyProtection="1">
      <alignment horizontal="center" wrapText="1"/>
      <protection locked="0"/>
    </xf>
    <xf numFmtId="0" fontId="33" fillId="0" borderId="38" xfId="0" applyFont="1" applyBorder="1" applyAlignment="1" applyProtection="1">
      <alignment horizontal="center"/>
      <protection locked="0"/>
    </xf>
    <xf numFmtId="184" fontId="33" fillId="0" borderId="45" xfId="0" applyNumberFormat="1" applyFont="1" applyBorder="1" applyAlignment="1">
      <alignment horizontal="center"/>
    </xf>
    <xf numFmtId="184" fontId="33" fillId="0" borderId="22" xfId="0" applyNumberFormat="1" applyFont="1" applyBorder="1" applyAlignment="1">
      <alignment horizontal="center"/>
    </xf>
    <xf numFmtId="184" fontId="33" fillId="0" borderId="4" xfId="0" applyNumberFormat="1" applyFont="1" applyBorder="1" applyAlignment="1">
      <alignment horizontal="center"/>
    </xf>
    <xf numFmtId="9" fontId="65" fillId="0" borderId="0" xfId="11" applyFont="1" applyFill="1" applyAlignment="1">
      <alignment horizontal="center" wrapText="1"/>
    </xf>
    <xf numFmtId="0" fontId="61" fillId="0" borderId="0" xfId="9" applyFont="1"/>
    <xf numFmtId="14" fontId="33" fillId="0" borderId="0" xfId="4" applyNumberFormat="1" applyFont="1"/>
    <xf numFmtId="166" fontId="33" fillId="0" borderId="0" xfId="6" applyNumberFormat="1" applyFont="1" applyAlignment="1">
      <alignment horizontal="center"/>
    </xf>
    <xf numFmtId="0" fontId="81" fillId="0" borderId="8" xfId="6" applyFont="1" applyBorder="1"/>
    <xf numFmtId="0" fontId="65" fillId="0" borderId="9" xfId="1793" applyFont="1" applyBorder="1" applyAlignment="1">
      <alignment horizontal="center"/>
    </xf>
    <xf numFmtId="0" fontId="65" fillId="0" borderId="10" xfId="1793" applyFont="1" applyBorder="1" applyAlignment="1">
      <alignment horizontal="center"/>
    </xf>
    <xf numFmtId="166" fontId="33" fillId="0" borderId="13" xfId="6" applyNumberFormat="1" applyFont="1" applyBorder="1" applyAlignment="1">
      <alignment horizontal="center"/>
    </xf>
    <xf numFmtId="4" fontId="33" fillId="0" borderId="13" xfId="6" applyNumberFormat="1" applyFont="1" applyBorder="1" applyAlignment="1">
      <alignment horizontal="center"/>
    </xf>
    <xf numFmtId="0" fontId="65" fillId="0" borderId="14" xfId="4" applyFont="1" applyBorder="1" applyAlignment="1">
      <alignment horizontal="center" wrapText="1"/>
    </xf>
    <xf numFmtId="0" fontId="33" fillId="0" borderId="0" xfId="6" applyFont="1"/>
    <xf numFmtId="4" fontId="33" fillId="0" borderId="13" xfId="4" quotePrefix="1" applyNumberFormat="1" applyFont="1" applyBorder="1" applyAlignment="1">
      <alignment horizontal="center" wrapText="1"/>
    </xf>
    <xf numFmtId="0" fontId="62" fillId="0" borderId="0" xfId="9" applyFont="1"/>
    <xf numFmtId="0" fontId="63" fillId="0" borderId="0" xfId="10" applyFont="1"/>
    <xf numFmtId="0" fontId="61" fillId="0" borderId="0" xfId="9" applyFont="1" applyAlignment="1">
      <alignment horizontal="left"/>
    </xf>
    <xf numFmtId="0" fontId="59" fillId="0" borderId="0" xfId="10" applyFont="1"/>
    <xf numFmtId="0" fontId="59" fillId="0" borderId="0" xfId="10" applyFont="1" applyAlignment="1">
      <alignment horizontal="left"/>
    </xf>
    <xf numFmtId="0" fontId="56" fillId="0" borderId="0" xfId="9" applyFont="1"/>
    <xf numFmtId="0" fontId="67" fillId="2" borderId="1" xfId="9" applyFont="1" applyFill="1" applyBorder="1" applyAlignment="1">
      <alignment horizontal="center" vertical="center" wrapText="1"/>
    </xf>
    <xf numFmtId="0" fontId="61" fillId="0" borderId="0" xfId="9" applyFont="1" applyAlignment="1">
      <alignment horizontal="center" vertical="center" wrapText="1"/>
    </xf>
    <xf numFmtId="0" fontId="67" fillId="2" borderId="6" xfId="9" applyFont="1" applyFill="1" applyBorder="1" applyAlignment="1">
      <alignment horizontal="center" vertical="center" wrapText="1"/>
    </xf>
    <xf numFmtId="0" fontId="83" fillId="0" borderId="0" xfId="9" applyFont="1" applyAlignment="1">
      <alignment horizontal="center" vertical="center" wrapText="1"/>
    </xf>
    <xf numFmtId="0" fontId="61" fillId="0" borderId="1" xfId="9" applyFont="1" applyBorder="1" applyAlignment="1">
      <alignment horizontal="center" vertical="center" wrapText="1"/>
    </xf>
    <xf numFmtId="4" fontId="61" fillId="0" borderId="1" xfId="9" quotePrefix="1" applyNumberFormat="1" applyFont="1" applyBorder="1" applyAlignment="1">
      <alignment horizontal="center" vertical="center" wrapText="1"/>
    </xf>
    <xf numFmtId="11" fontId="61" fillId="0" borderId="1" xfId="9" quotePrefix="1" applyNumberFormat="1" applyFont="1" applyBorder="1" applyAlignment="1">
      <alignment horizontal="center" vertical="center" wrapText="1"/>
    </xf>
    <xf numFmtId="4" fontId="61" fillId="0" borderId="1" xfId="9" applyNumberFormat="1" applyFont="1" applyBorder="1" applyAlignment="1">
      <alignment horizontal="center" vertical="center" wrapText="1"/>
    </xf>
    <xf numFmtId="0" fontId="63" fillId="0" borderId="0" xfId="9" applyFont="1" applyAlignment="1">
      <alignment horizontal="left" vertical="center"/>
    </xf>
    <xf numFmtId="0" fontId="61" fillId="0" borderId="2" xfId="9" applyFont="1" applyBorder="1"/>
    <xf numFmtId="0" fontId="61" fillId="0" borderId="5" xfId="9" applyFont="1" applyBorder="1"/>
    <xf numFmtId="0" fontId="61" fillId="0" borderId="16" xfId="9" applyFont="1" applyBorder="1"/>
    <xf numFmtId="11" fontId="61" fillId="0" borderId="5" xfId="9" applyNumberFormat="1" applyFont="1" applyBorder="1"/>
    <xf numFmtId="0" fontId="67" fillId="0" borderId="0" xfId="9" applyFont="1"/>
    <xf numFmtId="0" fontId="67" fillId="0" borderId="2" xfId="9" applyFont="1" applyBorder="1" applyAlignment="1">
      <alignment horizontal="center"/>
    </xf>
    <xf numFmtId="164" fontId="67" fillId="0" borderId="2" xfId="9" applyNumberFormat="1" applyFont="1" applyBorder="1" applyAlignment="1">
      <alignment horizontal="center"/>
    </xf>
    <xf numFmtId="0" fontId="61" fillId="0" borderId="15" xfId="9" applyFont="1" applyBorder="1" applyAlignment="1">
      <alignment horizontal="center"/>
    </xf>
    <xf numFmtId="0" fontId="61" fillId="0" borderId="13" xfId="9" applyFont="1" applyBorder="1"/>
    <xf numFmtId="0" fontId="61" fillId="0" borderId="15" xfId="9" applyFont="1" applyBorder="1"/>
    <xf numFmtId="0" fontId="61" fillId="0" borderId="12" xfId="9" applyFont="1" applyBorder="1"/>
    <xf numFmtId="0" fontId="84" fillId="0" borderId="0" xfId="9" applyFont="1" applyAlignment="1">
      <alignment horizontal="right"/>
    </xf>
    <xf numFmtId="0" fontId="84" fillId="0" borderId="0" xfId="9" applyFont="1" applyAlignment="1">
      <alignment horizontal="center"/>
    </xf>
    <xf numFmtId="2" fontId="84" fillId="0" borderId="0" xfId="9" applyNumberFormat="1" applyFont="1" applyAlignment="1">
      <alignment horizontal="center"/>
    </xf>
    <xf numFmtId="0" fontId="85" fillId="0" borderId="0" xfId="2056" applyFont="1"/>
    <xf numFmtId="0" fontId="86" fillId="0" borderId="0" xfId="99" applyFont="1"/>
    <xf numFmtId="0" fontId="86" fillId="0" borderId="0" xfId="2056" applyFont="1"/>
    <xf numFmtId="0" fontId="60" fillId="0" borderId="0" xfId="2056" applyFont="1" applyAlignment="1">
      <alignment horizontal="center"/>
    </xf>
    <xf numFmtId="0" fontId="60" fillId="0" borderId="0" xfId="2056" applyFont="1"/>
    <xf numFmtId="0" fontId="60" fillId="0" borderId="0" xfId="2056" applyFont="1" applyAlignment="1">
      <alignment horizontal="center" wrapText="1"/>
    </xf>
    <xf numFmtId="0" fontId="87" fillId="0" borderId="0" xfId="2056" applyFont="1" applyAlignment="1">
      <alignment vertical="top" wrapText="1"/>
    </xf>
    <xf numFmtId="0" fontId="63" fillId="0" borderId="0" xfId="1777" applyFont="1"/>
    <xf numFmtId="164" fontId="60" fillId="0" borderId="0" xfId="1778" applyNumberFormat="1" applyFont="1" applyAlignment="1">
      <alignment horizontal="center"/>
    </xf>
    <xf numFmtId="169" fontId="60" fillId="0" borderId="0" xfId="1778" applyFont="1" applyAlignment="1">
      <alignment horizontal="center" wrapText="1"/>
    </xf>
    <xf numFmtId="169" fontId="60" fillId="0" borderId="0" xfId="1778" applyFont="1"/>
    <xf numFmtId="0" fontId="76" fillId="0" borderId="0" xfId="2056" applyFont="1"/>
    <xf numFmtId="169" fontId="75" fillId="2" borderId="67" xfId="2056" applyNumberFormat="1" applyFont="1" applyFill="1" applyBorder="1" applyAlignment="1">
      <alignment horizontal="left" vertical="center"/>
    </xf>
    <xf numFmtId="0" fontId="88" fillId="2" borderId="68" xfId="2056" applyFont="1" applyFill="1" applyBorder="1" applyAlignment="1">
      <alignment horizontal="center"/>
    </xf>
    <xf numFmtId="0" fontId="88" fillId="2" borderId="16" xfId="2056" applyFont="1" applyFill="1" applyBorder="1" applyAlignment="1">
      <alignment horizontal="center"/>
    </xf>
    <xf numFmtId="169" fontId="90" fillId="0" borderId="72" xfId="2056" applyNumberFormat="1" applyFont="1" applyBorder="1" applyAlignment="1">
      <alignment horizontal="left" vertical="center"/>
    </xf>
    <xf numFmtId="2" fontId="76" fillId="0" borderId="37" xfId="2056" applyNumberFormat="1" applyFont="1" applyBorder="1" applyAlignment="1">
      <alignment horizontal="center"/>
    </xf>
    <xf numFmtId="2" fontId="76" fillId="0" borderId="39" xfId="2056" applyNumberFormat="1" applyFont="1" applyBorder="1" applyAlignment="1">
      <alignment horizontal="center"/>
    </xf>
    <xf numFmtId="2" fontId="76" fillId="0" borderId="2" xfId="2056" applyNumberFormat="1" applyFont="1" applyBorder="1" applyAlignment="1">
      <alignment horizontal="center"/>
    </xf>
    <xf numFmtId="169" fontId="90" fillId="0" borderId="74" xfId="2056" applyNumberFormat="1" applyFont="1" applyBorder="1" applyAlignment="1">
      <alignment horizontal="left" vertical="center"/>
    </xf>
    <xf numFmtId="2" fontId="76" fillId="0" borderId="11" xfId="2056" applyNumberFormat="1" applyFont="1" applyBorder="1" applyAlignment="1">
      <alignment horizontal="center"/>
    </xf>
    <xf numFmtId="2" fontId="76" fillId="0" borderId="64" xfId="2056" applyNumberFormat="1" applyFont="1" applyBorder="1" applyAlignment="1">
      <alignment horizontal="center"/>
    </xf>
    <xf numFmtId="2" fontId="76" fillId="0" borderId="2" xfId="2056" quotePrefix="1" applyNumberFormat="1" applyFont="1" applyBorder="1" applyAlignment="1">
      <alignment horizontal="center"/>
    </xf>
    <xf numFmtId="0" fontId="60" fillId="0" borderId="75" xfId="2056" applyFont="1" applyBorder="1" applyAlignment="1">
      <alignment vertical="center"/>
    </xf>
    <xf numFmtId="0" fontId="88" fillId="2" borderId="57" xfId="2056" applyFont="1" applyFill="1" applyBorder="1" applyAlignment="1">
      <alignment horizontal="center"/>
    </xf>
    <xf numFmtId="0" fontId="88" fillId="2" borderId="62" xfId="2056" applyFont="1" applyFill="1" applyBorder="1" applyAlignment="1">
      <alignment horizontal="center"/>
    </xf>
    <xf numFmtId="4" fontId="88" fillId="2" borderId="67" xfId="2056" applyNumberFormat="1" applyFont="1" applyFill="1" applyBorder="1" applyAlignment="1">
      <alignment vertical="center"/>
    </xf>
    <xf numFmtId="2" fontId="76" fillId="0" borderId="69" xfId="2056" applyNumberFormat="1" applyFont="1" applyBorder="1" applyAlignment="1">
      <alignment horizontal="center"/>
    </xf>
    <xf numFmtId="2" fontId="76" fillId="0" borderId="70" xfId="2056" applyNumberFormat="1" applyFont="1" applyBorder="1" applyAlignment="1">
      <alignment horizontal="center"/>
    </xf>
    <xf numFmtId="2" fontId="76" fillId="0" borderId="71" xfId="2056" applyNumberFormat="1" applyFont="1" applyBorder="1" applyAlignment="1">
      <alignment horizontal="center"/>
    </xf>
    <xf numFmtId="2" fontId="76" fillId="0" borderId="0" xfId="2056" applyNumberFormat="1" applyFont="1"/>
    <xf numFmtId="14" fontId="76" fillId="0" borderId="0" xfId="2056" applyNumberFormat="1" applyFont="1"/>
    <xf numFmtId="0" fontId="59" fillId="0" borderId="0" xfId="1779" applyFont="1"/>
    <xf numFmtId="169" fontId="33" fillId="0" borderId="0" xfId="1778" applyFont="1"/>
    <xf numFmtId="169" fontId="33" fillId="0" borderId="0" xfId="1778" applyFont="1" applyAlignment="1">
      <alignment horizontal="center" wrapText="1"/>
    </xf>
    <xf numFmtId="169" fontId="91" fillId="0" borderId="0" xfId="1778" applyFont="1" applyAlignment="1">
      <alignment horizontal="left" wrapText="1"/>
    </xf>
    <xf numFmtId="169" fontId="62" fillId="0" borderId="0" xfId="1778" applyFont="1"/>
    <xf numFmtId="169" fontId="33" fillId="0" borderId="0" xfId="1778" applyFont="1" applyAlignment="1">
      <alignment horizontal="center"/>
    </xf>
    <xf numFmtId="169" fontId="92" fillId="0" borderId="0" xfId="1778" applyFont="1"/>
    <xf numFmtId="169" fontId="93" fillId="0" borderId="0" xfId="1778" applyFont="1"/>
    <xf numFmtId="169" fontId="93" fillId="0" borderId="0" xfId="1778" applyFont="1" applyAlignment="1">
      <alignment horizontal="center"/>
    </xf>
    <xf numFmtId="169" fontId="33" fillId="0" borderId="17" xfId="1778" applyFont="1" applyBorder="1" applyAlignment="1">
      <alignment horizontal="center"/>
    </xf>
    <xf numFmtId="169" fontId="33" fillId="0" borderId="18" xfId="1778" applyFont="1" applyBorder="1" applyAlignment="1">
      <alignment horizontal="center"/>
    </xf>
    <xf numFmtId="169" fontId="33" fillId="0" borderId="39" xfId="1778" applyFont="1" applyBorder="1" applyAlignment="1">
      <alignment horizontal="center" wrapText="1"/>
    </xf>
    <xf numFmtId="169" fontId="33" fillId="0" borderId="18" xfId="1778" applyFont="1" applyBorder="1" applyAlignment="1">
      <alignment horizontal="center" wrapText="1"/>
    </xf>
    <xf numFmtId="169" fontId="33" fillId="0" borderId="19" xfId="1778" applyFont="1" applyBorder="1" applyAlignment="1">
      <alignment horizontal="center" wrapText="1"/>
    </xf>
    <xf numFmtId="165" fontId="56" fillId="0" borderId="2" xfId="1778" applyNumberFormat="1" applyFont="1" applyBorder="1" applyAlignment="1">
      <alignment horizontal="center" vertical="center" wrapText="1"/>
    </xf>
    <xf numFmtId="165" fontId="56" fillId="0" borderId="0" xfId="1778" applyNumberFormat="1" applyFont="1" applyAlignment="1">
      <alignment horizontal="center" vertical="center" wrapText="1"/>
    </xf>
    <xf numFmtId="169" fontId="33" fillId="0" borderId="21" xfId="1778" applyFont="1" applyBorder="1" applyAlignment="1">
      <alignment horizontal="center"/>
    </xf>
    <xf numFmtId="169" fontId="33" fillId="0" borderId="22" xfId="1778" applyFont="1" applyBorder="1" applyAlignment="1">
      <alignment horizontal="center"/>
    </xf>
    <xf numFmtId="165" fontId="33" fillId="0" borderId="40" xfId="1778" applyNumberFormat="1" applyFont="1" applyBorder="1" applyAlignment="1">
      <alignment horizontal="center" vertical="center" wrapText="1"/>
    </xf>
    <xf numFmtId="165" fontId="33" fillId="0" borderId="22" xfId="1778" applyNumberFormat="1" applyFont="1" applyBorder="1" applyAlignment="1">
      <alignment horizontal="center" vertical="center" wrapText="1"/>
    </xf>
    <xf numFmtId="165" fontId="33" fillId="0" borderId="4" xfId="1778" applyNumberFormat="1" applyFont="1" applyBorder="1" applyAlignment="1">
      <alignment horizontal="center" vertical="center" wrapText="1"/>
    </xf>
    <xf numFmtId="169" fontId="33" fillId="0" borderId="20" xfId="1778" applyFont="1" applyBorder="1" applyAlignment="1">
      <alignment horizontal="center"/>
    </xf>
    <xf numFmtId="165" fontId="33" fillId="0" borderId="2" xfId="1778" applyNumberFormat="1" applyFont="1" applyBorder="1" applyAlignment="1">
      <alignment horizontal="center" vertical="center" wrapText="1"/>
    </xf>
    <xf numFmtId="165" fontId="33" fillId="0" borderId="0" xfId="1778" applyNumberFormat="1" applyFont="1" applyAlignment="1">
      <alignment horizontal="center" vertical="center" wrapText="1"/>
    </xf>
    <xf numFmtId="165" fontId="33" fillId="0" borderId="3" xfId="1778" applyNumberFormat="1" applyFont="1" applyBorder="1" applyAlignment="1">
      <alignment horizontal="center" vertical="center" wrapText="1"/>
    </xf>
    <xf numFmtId="169" fontId="33" fillId="0" borderId="23" xfId="1778" applyFont="1" applyBorder="1" applyAlignment="1">
      <alignment horizontal="center"/>
    </xf>
    <xf numFmtId="169" fontId="33" fillId="0" borderId="25" xfId="1778" applyFont="1" applyBorder="1" applyAlignment="1">
      <alignment horizontal="center"/>
    </xf>
    <xf numFmtId="4" fontId="33" fillId="0" borderId="41" xfId="1778" applyNumberFormat="1" applyFont="1" applyBorder="1" applyAlignment="1">
      <alignment horizontal="center" vertical="center" wrapText="1"/>
    </xf>
    <xf numFmtId="4" fontId="33" fillId="0" borderId="25" xfId="1778" applyNumberFormat="1" applyFont="1" applyBorder="1" applyAlignment="1">
      <alignment horizontal="center" vertical="center" wrapText="1"/>
    </xf>
    <xf numFmtId="166" fontId="56" fillId="0" borderId="24" xfId="1778" applyNumberFormat="1" applyFont="1" applyBorder="1" applyAlignment="1">
      <alignment horizontal="center" vertical="center" wrapText="1"/>
    </xf>
    <xf numFmtId="169" fontId="33" fillId="0" borderId="26" xfId="1778" applyFont="1" applyBorder="1" applyAlignment="1">
      <alignment horizontal="center"/>
    </xf>
    <xf numFmtId="169" fontId="33" fillId="0" borderId="29" xfId="1778" applyFont="1" applyBorder="1" applyAlignment="1">
      <alignment horizontal="center"/>
    </xf>
    <xf numFmtId="4" fontId="33" fillId="0" borderId="29" xfId="1778" applyNumberFormat="1" applyFont="1" applyBorder="1" applyAlignment="1">
      <alignment horizontal="center" vertical="center" wrapText="1"/>
    </xf>
    <xf numFmtId="164" fontId="33" fillId="0" borderId="0" xfId="1778" applyNumberFormat="1" applyFont="1"/>
    <xf numFmtId="4" fontId="33" fillId="0" borderId="42" xfId="1778" applyNumberFormat="1" applyFont="1" applyBorder="1" applyAlignment="1">
      <alignment horizontal="center" vertical="center" wrapText="1"/>
    </xf>
    <xf numFmtId="4" fontId="33" fillId="0" borderId="30" xfId="1778" applyNumberFormat="1" applyFont="1" applyBorder="1" applyAlignment="1">
      <alignment horizontal="center" vertical="center" wrapText="1"/>
    </xf>
    <xf numFmtId="166" fontId="56" fillId="0" borderId="27" xfId="1778" applyNumberFormat="1" applyFont="1" applyBorder="1" applyAlignment="1">
      <alignment horizontal="center" vertical="center" wrapText="1"/>
    </xf>
    <xf numFmtId="169" fontId="60" fillId="0" borderId="21" xfId="1778" applyFont="1" applyBorder="1" applyAlignment="1">
      <alignment horizontal="center"/>
    </xf>
    <xf numFmtId="169" fontId="60" fillId="0" borderId="22" xfId="1778" applyFont="1" applyBorder="1" applyAlignment="1">
      <alignment horizontal="center"/>
    </xf>
    <xf numFmtId="169" fontId="57" fillId="0" borderId="0" xfId="1778" applyFont="1"/>
    <xf numFmtId="169" fontId="56" fillId="0" borderId="0" xfId="1778" applyFont="1" applyAlignment="1">
      <alignment horizontal="left" wrapText="1"/>
    </xf>
    <xf numFmtId="0" fontId="33" fillId="0" borderId="0" xfId="1778" applyNumberFormat="1" applyFont="1" applyAlignment="1">
      <alignment vertical="top" wrapText="1"/>
    </xf>
    <xf numFmtId="169" fontId="91" fillId="0" borderId="0" xfId="1778" applyFont="1"/>
    <xf numFmtId="0" fontId="33" fillId="0" borderId="17" xfId="0" applyFont="1" applyBorder="1"/>
    <xf numFmtId="0" fontId="33" fillId="0" borderId="18" xfId="0" applyFont="1" applyBorder="1"/>
    <xf numFmtId="0" fontId="33" fillId="0" borderId="21" xfId="0" applyFont="1" applyBorder="1"/>
    <xf numFmtId="0" fontId="33" fillId="0" borderId="22" xfId="0" applyFont="1" applyBorder="1"/>
    <xf numFmtId="0" fontId="56" fillId="0" borderId="20" xfId="0" applyFont="1" applyBorder="1" applyAlignment="1">
      <alignment horizontal="center"/>
    </xf>
    <xf numFmtId="0" fontId="65" fillId="0" borderId="20" xfId="0" applyFont="1" applyBorder="1"/>
    <xf numFmtId="4" fontId="33" fillId="0" borderId="0" xfId="0" applyNumberFormat="1" applyFont="1"/>
    <xf numFmtId="0" fontId="33" fillId="0" borderId="20" xfId="0" applyFont="1" applyBorder="1" applyAlignment="1">
      <alignment horizontal="center"/>
    </xf>
    <xf numFmtId="0" fontId="33" fillId="0" borderId="21" xfId="0" applyFont="1" applyBorder="1" applyAlignment="1">
      <alignment horizontal="center"/>
    </xf>
    <xf numFmtId="0" fontId="33" fillId="0" borderId="48" xfId="0" applyFont="1" applyBorder="1" applyAlignment="1">
      <alignment horizontal="center" wrapText="1"/>
    </xf>
    <xf numFmtId="0" fontId="33" fillId="0" borderId="49" xfId="0" applyFont="1" applyBorder="1" applyAlignment="1">
      <alignment horizontal="center" wrapText="1"/>
    </xf>
    <xf numFmtId="0" fontId="33" fillId="0" borderId="50" xfId="0" applyFont="1" applyBorder="1" applyAlignment="1">
      <alignment horizontal="center" wrapText="1"/>
    </xf>
    <xf numFmtId="3" fontId="33" fillId="0" borderId="3" xfId="0" applyNumberFormat="1" applyFont="1" applyBorder="1" applyAlignment="1">
      <alignment horizontal="center"/>
    </xf>
    <xf numFmtId="3" fontId="33" fillId="0" borderId="4" xfId="0" applyNumberFormat="1" applyFont="1" applyBorder="1" applyAlignment="1">
      <alignment horizontal="center"/>
    </xf>
    <xf numFmtId="0" fontId="76" fillId="0" borderId="55" xfId="1776" applyFont="1" applyBorder="1" applyAlignment="1">
      <alignment horizontal="center" wrapText="1"/>
    </xf>
    <xf numFmtId="169" fontId="33" fillId="0" borderId="39" xfId="1778" applyFont="1" applyBorder="1" applyAlignment="1">
      <alignment horizontal="center"/>
    </xf>
    <xf numFmtId="169" fontId="33" fillId="0" borderId="40" xfId="1778" applyFont="1" applyBorder="1" applyAlignment="1">
      <alignment horizontal="center"/>
    </xf>
    <xf numFmtId="169" fontId="33" fillId="0" borderId="2" xfId="1778" applyFont="1" applyBorder="1" applyAlignment="1">
      <alignment horizontal="center"/>
    </xf>
    <xf numFmtId="3" fontId="33" fillId="0" borderId="41" xfId="1778" applyNumberFormat="1" applyFont="1" applyBorder="1" applyAlignment="1">
      <alignment horizontal="center" vertical="center" wrapText="1"/>
    </xf>
    <xf numFmtId="3" fontId="33" fillId="0" borderId="79" xfId="1778" applyNumberFormat="1" applyFont="1" applyBorder="1" applyAlignment="1">
      <alignment horizontal="center" vertical="center" wrapText="1"/>
    </xf>
    <xf numFmtId="164" fontId="33" fillId="0" borderId="79" xfId="1778" applyNumberFormat="1" applyFont="1" applyBorder="1" applyAlignment="1">
      <alignment horizontal="center" vertical="center" wrapText="1"/>
    </xf>
    <xf numFmtId="1" fontId="33" fillId="0" borderId="41" xfId="1778" applyNumberFormat="1" applyFont="1" applyBorder="1" applyAlignment="1">
      <alignment horizontal="center" vertical="center" wrapText="1"/>
    </xf>
    <xf numFmtId="169" fontId="60" fillId="0" borderId="40" xfId="1778" applyFont="1" applyBorder="1" applyAlignment="1">
      <alignment horizontal="center"/>
    </xf>
    <xf numFmtId="3" fontId="33" fillId="0" borderId="42" xfId="1778" applyNumberFormat="1" applyFont="1" applyBorder="1" applyAlignment="1">
      <alignment horizontal="center" vertical="center" wrapText="1"/>
    </xf>
    <xf numFmtId="168" fontId="56" fillId="0" borderId="1" xfId="0" applyNumberFormat="1" applyFont="1" applyBorder="1"/>
    <xf numFmtId="0" fontId="56" fillId="0" borderId="1" xfId="0" applyFont="1" applyBorder="1" applyAlignment="1">
      <alignment horizontal="right"/>
    </xf>
    <xf numFmtId="0" fontId="88" fillId="2" borderId="10" xfId="2056" applyFont="1" applyFill="1" applyBorder="1" applyAlignment="1">
      <alignment horizontal="center"/>
    </xf>
    <xf numFmtId="0" fontId="88" fillId="2" borderId="81" xfId="2056" applyFont="1" applyFill="1" applyBorder="1" applyAlignment="1">
      <alignment horizontal="center"/>
    </xf>
    <xf numFmtId="2" fontId="76" fillId="0" borderId="82" xfId="2056" applyNumberFormat="1" applyFont="1" applyBorder="1" applyAlignment="1">
      <alignment horizontal="center"/>
    </xf>
    <xf numFmtId="2" fontId="76" fillId="0" borderId="53" xfId="2056" applyNumberFormat="1" applyFont="1" applyBorder="1" applyAlignment="1">
      <alignment horizontal="center"/>
    </xf>
    <xf numFmtId="2" fontId="76" fillId="0" borderId="73" xfId="2056" applyNumberFormat="1" applyFont="1" applyBorder="1" applyAlignment="1">
      <alignment horizontal="center"/>
    </xf>
    <xf numFmtId="169" fontId="33" fillId="0" borderId="18" xfId="1778" applyFont="1" applyBorder="1"/>
    <xf numFmtId="0" fontId="33" fillId="0" borderId="20" xfId="0" applyFont="1" applyBorder="1"/>
    <xf numFmtId="169" fontId="33" fillId="0" borderId="22" xfId="1778" applyFont="1" applyBorder="1"/>
    <xf numFmtId="3" fontId="33" fillId="0" borderId="0" xfId="1778" applyNumberFormat="1" applyFont="1" applyAlignment="1">
      <alignment horizontal="center" wrapText="1"/>
    </xf>
    <xf numFmtId="169" fontId="92" fillId="0" borderId="2" xfId="1778" applyFont="1" applyBorder="1" applyAlignment="1">
      <alignment horizontal="center" wrapText="1"/>
    </xf>
    <xf numFmtId="2" fontId="56" fillId="0" borderId="2" xfId="1780" applyNumberFormat="1" applyFont="1" applyBorder="1" applyAlignment="1">
      <alignment horizontal="center" vertical="center" wrapText="1"/>
    </xf>
    <xf numFmtId="167" fontId="33" fillId="0" borderId="0" xfId="4" quotePrefix="1" applyNumberFormat="1" applyFont="1" applyAlignment="1">
      <alignment horizontal="center" wrapText="1"/>
    </xf>
    <xf numFmtId="0" fontId="65" fillId="0" borderId="11" xfId="4" applyFont="1" applyBorder="1" applyAlignment="1">
      <alignment horizontal="center" wrapText="1"/>
    </xf>
    <xf numFmtId="0" fontId="61" fillId="0" borderId="0" xfId="4" applyFont="1" applyAlignment="1">
      <alignment wrapText="1"/>
    </xf>
    <xf numFmtId="2" fontId="61" fillId="0" borderId="0" xfId="4" applyNumberFormat="1" applyFont="1" applyAlignment="1">
      <alignment horizontal="center" wrapText="1"/>
    </xf>
    <xf numFmtId="3" fontId="61" fillId="0" borderId="0" xfId="4" applyNumberFormat="1" applyFont="1" applyAlignment="1">
      <alignment horizontal="center" wrapText="1"/>
    </xf>
    <xf numFmtId="169" fontId="63" fillId="0" borderId="0" xfId="1778" applyFont="1"/>
    <xf numFmtId="0" fontId="68" fillId="0" borderId="12" xfId="4" applyFont="1" applyBorder="1"/>
    <xf numFmtId="0" fontId="68" fillId="0" borderId="13" xfId="4" applyFont="1" applyBorder="1"/>
    <xf numFmtId="4" fontId="33" fillId="0" borderId="13" xfId="4" applyNumberFormat="1" applyFont="1" applyBorder="1" applyAlignment="1">
      <alignment horizontal="center" wrapText="1"/>
    </xf>
    <xf numFmtId="3" fontId="33" fillId="0" borderId="13" xfId="4" quotePrefix="1" applyNumberFormat="1" applyFont="1" applyBorder="1" applyAlignment="1">
      <alignment horizontal="center" wrapText="1"/>
    </xf>
    <xf numFmtId="4" fontId="65" fillId="0" borderId="14" xfId="4" quotePrefix="1" applyNumberFormat="1" applyFont="1" applyBorder="1" applyAlignment="1">
      <alignment horizontal="center"/>
    </xf>
    <xf numFmtId="0" fontId="76" fillId="0" borderId="76" xfId="1776" applyFont="1" applyBorder="1" applyAlignment="1">
      <alignment horizontal="center"/>
    </xf>
    <xf numFmtId="0" fontId="76" fillId="0" borderId="1" xfId="1776" applyFont="1" applyBorder="1" applyAlignment="1">
      <alignment horizontal="center"/>
    </xf>
    <xf numFmtId="0" fontId="76" fillId="0" borderId="62" xfId="1776" applyFont="1" applyBorder="1" applyAlignment="1">
      <alignment horizontal="center"/>
    </xf>
    <xf numFmtId="0" fontId="60" fillId="0" borderId="69" xfId="0" applyFont="1" applyBorder="1" applyAlignment="1">
      <alignment horizontal="center"/>
    </xf>
    <xf numFmtId="4" fontId="60" fillId="0" borderId="70" xfId="0" applyNumberFormat="1" applyFont="1" applyBorder="1" applyAlignment="1">
      <alignment horizontal="center"/>
    </xf>
    <xf numFmtId="0" fontId="60" fillId="0" borderId="71" xfId="0" applyFont="1" applyBorder="1" applyAlignment="1">
      <alignment horizontal="center" wrapText="1"/>
    </xf>
    <xf numFmtId="2" fontId="76" fillId="0" borderId="1" xfId="1776" applyNumberFormat="1" applyFont="1" applyBorder="1" applyAlignment="1">
      <alignment horizontal="center"/>
    </xf>
    <xf numFmtId="2" fontId="33" fillId="0" borderId="0" xfId="1778" applyNumberFormat="1" applyFont="1" applyAlignment="1">
      <alignment horizontal="center" wrapText="1"/>
    </xf>
    <xf numFmtId="1" fontId="33" fillId="0" borderId="0" xfId="0" applyNumberFormat="1" applyFont="1" applyAlignment="1">
      <alignment horizontal="center"/>
    </xf>
    <xf numFmtId="169" fontId="33" fillId="0" borderId="28" xfId="1778" applyFont="1" applyBorder="1" applyAlignment="1">
      <alignment horizontal="center"/>
    </xf>
    <xf numFmtId="2" fontId="59" fillId="0" borderId="0" xfId="11" applyNumberFormat="1" applyFont="1" applyAlignment="1">
      <alignment horizontal="center"/>
    </xf>
    <xf numFmtId="0" fontId="65" fillId="0" borderId="11" xfId="4" applyFont="1" applyBorder="1" applyAlignment="1">
      <alignment horizontal="center" vertical="center" wrapText="1"/>
    </xf>
    <xf numFmtId="166" fontId="33" fillId="0" borderId="0" xfId="6" applyNumberFormat="1" applyFont="1" applyAlignment="1">
      <alignment horizontal="center" vertical="center"/>
    </xf>
    <xf numFmtId="4" fontId="33" fillId="0" borderId="0" xfId="6" applyNumberFormat="1" applyFont="1" applyAlignment="1">
      <alignment horizontal="center" vertical="center"/>
    </xf>
    <xf numFmtId="4" fontId="33" fillId="0" borderId="0" xfId="4" quotePrefix="1" applyNumberFormat="1" applyFont="1" applyAlignment="1">
      <alignment horizontal="center" vertical="center" wrapText="1"/>
    </xf>
    <xf numFmtId="0" fontId="65" fillId="0" borderId="0" xfId="4" applyFont="1" applyAlignment="1">
      <alignment horizontal="center" vertical="center"/>
    </xf>
    <xf numFmtId="169" fontId="33" fillId="0" borderId="56" xfId="1778" applyFont="1" applyBorder="1" applyAlignment="1">
      <alignment horizontal="center"/>
    </xf>
    <xf numFmtId="167" fontId="76" fillId="0" borderId="15" xfId="1776" applyNumberFormat="1" applyFont="1" applyBorder="1" applyAlignment="1">
      <alignment horizontal="center" wrapText="1"/>
    </xf>
    <xf numFmtId="9" fontId="33" fillId="0" borderId="0" xfId="11" applyFont="1" applyFill="1"/>
    <xf numFmtId="169" fontId="59" fillId="0" borderId="0" xfId="1778" applyFont="1"/>
    <xf numFmtId="169" fontId="59" fillId="0" borderId="0" xfId="1778" applyFont="1" applyAlignment="1">
      <alignment horizontal="center" wrapText="1"/>
    </xf>
    <xf numFmtId="2" fontId="59" fillId="0" borderId="0" xfId="1778" applyNumberFormat="1" applyFont="1" applyAlignment="1">
      <alignment horizontal="center" wrapText="1"/>
    </xf>
    <xf numFmtId="0" fontId="98" fillId="0" borderId="0" xfId="0" applyFont="1" applyAlignment="1">
      <alignment vertical="center" wrapText="1"/>
    </xf>
    <xf numFmtId="9" fontId="33" fillId="0" borderId="0" xfId="11" applyFont="1" applyFill="1" applyAlignment="1">
      <alignment horizontal="center" vertical="center"/>
    </xf>
    <xf numFmtId="3" fontId="33" fillId="0" borderId="19" xfId="0" applyNumberFormat="1" applyFont="1" applyBorder="1" applyAlignment="1">
      <alignment horizontal="center"/>
    </xf>
    <xf numFmtId="186" fontId="33" fillId="0" borderId="0" xfId="4" quotePrefix="1" applyNumberFormat="1" applyFont="1" applyAlignment="1">
      <alignment horizontal="center" wrapText="1"/>
    </xf>
    <xf numFmtId="185" fontId="33" fillId="0" borderId="0" xfId="1778" applyNumberFormat="1" applyFont="1" applyAlignment="1">
      <alignment horizontal="left"/>
    </xf>
    <xf numFmtId="0" fontId="65" fillId="0" borderId="11" xfId="4" applyFont="1" applyBorder="1" applyAlignment="1">
      <alignment vertical="center" wrapText="1"/>
    </xf>
    <xf numFmtId="0" fontId="76" fillId="0" borderId="61" xfId="1776" applyFont="1" applyBorder="1" applyAlignment="1">
      <alignment vertical="center" wrapText="1"/>
    </xf>
    <xf numFmtId="2" fontId="33" fillId="0" borderId="0" xfId="1778" applyNumberFormat="1" applyFont="1"/>
    <xf numFmtId="0" fontId="88" fillId="2" borderId="83" xfId="2056" applyFont="1" applyFill="1" applyBorder="1" applyAlignment="1">
      <alignment horizontal="center"/>
    </xf>
    <xf numFmtId="2" fontId="76" fillId="0" borderId="66" xfId="2056" applyNumberFormat="1" applyFont="1" applyBorder="1" applyAlignment="1">
      <alignment horizontal="center"/>
    </xf>
    <xf numFmtId="11" fontId="61" fillId="0" borderId="2" xfId="9" applyNumberFormat="1" applyFont="1" applyBorder="1"/>
    <xf numFmtId="169" fontId="33" fillId="0" borderId="30" xfId="1778" applyFont="1" applyBorder="1" applyAlignment="1">
      <alignment horizontal="center"/>
    </xf>
    <xf numFmtId="9" fontId="33" fillId="0" borderId="19" xfId="0" applyNumberFormat="1" applyFont="1" applyBorder="1" applyAlignment="1">
      <alignment horizontal="center"/>
    </xf>
    <xf numFmtId="9" fontId="33" fillId="0" borderId="4" xfId="0" applyNumberFormat="1" applyFont="1" applyBorder="1" applyAlignment="1">
      <alignment horizontal="center"/>
    </xf>
    <xf numFmtId="4" fontId="76" fillId="0" borderId="6" xfId="1776" quotePrefix="1" applyNumberFormat="1" applyFont="1" applyBorder="1" applyAlignment="1">
      <alignment horizontal="center"/>
    </xf>
    <xf numFmtId="2" fontId="33" fillId="0" borderId="0" xfId="0" applyNumberFormat="1" applyFont="1" applyAlignment="1">
      <alignment horizontal="center"/>
    </xf>
    <xf numFmtId="169" fontId="33" fillId="17" borderId="0" xfId="1778" applyFont="1" applyFill="1"/>
    <xf numFmtId="2" fontId="33" fillId="17" borderId="0" xfId="1778" applyNumberFormat="1" applyFont="1" applyFill="1"/>
    <xf numFmtId="2" fontId="59" fillId="17" borderId="0" xfId="11" applyNumberFormat="1" applyFont="1" applyFill="1" applyAlignment="1">
      <alignment horizontal="center"/>
    </xf>
    <xf numFmtId="0" fontId="33" fillId="0" borderId="84" xfId="0" applyFont="1" applyBorder="1" applyAlignment="1">
      <alignment horizontal="center"/>
    </xf>
    <xf numFmtId="0" fontId="33" fillId="0" borderId="9" xfId="0" applyFont="1" applyBorder="1" applyAlignment="1">
      <alignment horizontal="center"/>
    </xf>
    <xf numFmtId="3" fontId="33" fillId="0" borderId="85" xfId="0" applyNumberFormat="1" applyFont="1" applyBorder="1" applyAlignment="1">
      <alignment horizontal="center"/>
    </xf>
    <xf numFmtId="0" fontId="33" fillId="0" borderId="84" xfId="0" applyFont="1" applyBorder="1" applyAlignment="1">
      <alignment horizontal="center" wrapText="1"/>
    </xf>
    <xf numFmtId="0" fontId="33" fillId="0" borderId="9" xfId="0" applyFont="1" applyBorder="1" applyAlignment="1">
      <alignment horizontal="center" wrapText="1"/>
    </xf>
    <xf numFmtId="0" fontId="33" fillId="0" borderId="85" xfId="0" applyFont="1" applyBorder="1" applyAlignment="1">
      <alignment horizontal="center" wrapText="1"/>
    </xf>
    <xf numFmtId="2" fontId="76" fillId="0" borderId="6" xfId="1776" quotePrefix="1" applyNumberFormat="1" applyFont="1" applyBorder="1" applyAlignment="1">
      <alignment horizontal="center"/>
    </xf>
    <xf numFmtId="0" fontId="83" fillId="0" borderId="0" xfId="9" applyFont="1" applyAlignment="1">
      <alignment horizontal="center"/>
    </xf>
    <xf numFmtId="4" fontId="83" fillId="0" borderId="0" xfId="9" applyNumberFormat="1" applyFont="1" applyAlignment="1">
      <alignment horizontal="center"/>
    </xf>
    <xf numFmtId="0" fontId="76" fillId="0" borderId="78" xfId="1776" applyFont="1" applyBorder="1" applyAlignment="1">
      <alignment horizontal="center"/>
    </xf>
    <xf numFmtId="0" fontId="76" fillId="0" borderId="45" xfId="1776" applyFont="1" applyBorder="1" applyAlignment="1">
      <alignment horizontal="center"/>
    </xf>
    <xf numFmtId="3" fontId="76" fillId="0" borderId="45" xfId="1776" applyNumberFormat="1" applyFont="1" applyBorder="1" applyAlignment="1">
      <alignment horizontal="center"/>
    </xf>
    <xf numFmtId="3" fontId="76" fillId="0" borderId="40" xfId="1776" applyNumberFormat="1" applyFont="1" applyBorder="1" applyAlignment="1">
      <alignment horizontal="center"/>
    </xf>
    <xf numFmtId="2" fontId="76" fillId="0" borderId="45" xfId="1776" applyNumberFormat="1" applyFont="1" applyBorder="1" applyAlignment="1">
      <alignment horizontal="center"/>
    </xf>
    <xf numFmtId="2" fontId="76" fillId="0" borderId="65" xfId="1776" applyNumberFormat="1" applyFont="1" applyBorder="1" applyAlignment="1">
      <alignment horizontal="center"/>
    </xf>
    <xf numFmtId="0" fontId="76" fillId="0" borderId="68" xfId="1776" applyFont="1" applyBorder="1" applyAlignment="1">
      <alignment horizontal="center"/>
    </xf>
    <xf numFmtId="0" fontId="76" fillId="0" borderId="8" xfId="1776" applyFont="1" applyBorder="1" applyAlignment="1">
      <alignment horizontal="center"/>
    </xf>
    <xf numFmtId="3" fontId="76" fillId="0" borderId="8" xfId="1776" applyNumberFormat="1" applyFont="1" applyBorder="1" applyAlignment="1">
      <alignment horizontal="center"/>
    </xf>
    <xf numFmtId="2" fontId="76" fillId="0" borderId="8" xfId="1776" applyNumberFormat="1" applyFont="1" applyBorder="1" applyAlignment="1">
      <alignment horizontal="center"/>
    </xf>
    <xf numFmtId="2" fontId="76" fillId="0" borderId="83" xfId="1776" applyNumberFormat="1" applyFont="1" applyBorder="1" applyAlignment="1">
      <alignment horizontal="center"/>
    </xf>
    <xf numFmtId="2" fontId="67" fillId="0" borderId="2" xfId="9" applyNumberFormat="1" applyFont="1" applyBorder="1" applyAlignment="1">
      <alignment horizontal="center"/>
    </xf>
    <xf numFmtId="2" fontId="33" fillId="0" borderId="2" xfId="0" applyNumberFormat="1" applyFont="1" applyBorder="1" applyAlignment="1">
      <alignment horizontal="center"/>
    </xf>
    <xf numFmtId="2" fontId="65" fillId="0" borderId="9" xfId="4" applyNumberFormat="1" applyFont="1" applyBorder="1" applyAlignment="1">
      <alignment horizontal="center" wrapText="1"/>
    </xf>
    <xf numFmtId="2" fontId="65" fillId="0" borderId="0" xfId="4" applyNumberFormat="1" applyFont="1" applyAlignment="1">
      <alignment horizontal="center" wrapText="1"/>
    </xf>
    <xf numFmtId="2" fontId="88" fillId="2" borderId="62" xfId="2056" applyNumberFormat="1" applyFont="1" applyFill="1" applyBorder="1" applyAlignment="1">
      <alignment horizontal="center"/>
    </xf>
    <xf numFmtId="2" fontId="33" fillId="0" borderId="41" xfId="1778" applyNumberFormat="1" applyFont="1" applyBorder="1" applyAlignment="1">
      <alignment horizontal="center" vertical="center" wrapText="1"/>
    </xf>
    <xf numFmtId="2" fontId="65" fillId="0" borderId="9" xfId="4" applyNumberFormat="1" applyFont="1" applyBorder="1" applyAlignment="1">
      <alignment horizontal="center"/>
    </xf>
    <xf numFmtId="2" fontId="65" fillId="0" borderId="0" xfId="4" applyNumberFormat="1" applyFont="1" applyAlignment="1">
      <alignment horizontal="center"/>
    </xf>
    <xf numFmtId="2" fontId="65" fillId="0" borderId="0" xfId="4" applyNumberFormat="1" applyFont="1"/>
    <xf numFmtId="2" fontId="33" fillId="0" borderId="29" xfId="1778" applyNumberFormat="1" applyFont="1" applyBorder="1" applyAlignment="1">
      <alignment horizontal="center" vertical="center" wrapText="1"/>
    </xf>
    <xf numFmtId="2" fontId="33" fillId="0" borderId="12" xfId="0" applyNumberFormat="1" applyFont="1" applyBorder="1" applyAlignment="1">
      <alignment horizontal="centerContinuous"/>
    </xf>
    <xf numFmtId="2" fontId="33" fillId="0" borderId="14" xfId="0" applyNumberFormat="1" applyFont="1" applyBorder="1" applyAlignment="1">
      <alignment horizontal="centerContinuous"/>
    </xf>
    <xf numFmtId="2" fontId="33" fillId="0" borderId="0" xfId="4" applyNumberFormat="1" applyFont="1" applyAlignment="1">
      <alignment horizontal="center"/>
    </xf>
    <xf numFmtId="2" fontId="65" fillId="0" borderId="11" xfId="4" applyNumberFormat="1" applyFont="1" applyBorder="1" applyAlignment="1">
      <alignment horizontal="center"/>
    </xf>
    <xf numFmtId="2" fontId="56" fillId="0" borderId="24" xfId="1778" applyNumberFormat="1" applyFont="1" applyBorder="1" applyAlignment="1">
      <alignment horizontal="center" vertical="center" wrapText="1"/>
    </xf>
    <xf numFmtId="2" fontId="88" fillId="2" borderId="63" xfId="2056" applyNumberFormat="1" applyFont="1" applyFill="1" applyBorder="1" applyAlignment="1">
      <alignment horizontal="center"/>
    </xf>
    <xf numFmtId="169" fontId="33" fillId="0" borderId="0" xfId="1778" applyFont="1" applyAlignment="1">
      <alignment horizontal="left" wrapText="1"/>
    </xf>
    <xf numFmtId="169" fontId="33" fillId="0" borderId="0" xfId="1778" applyFont="1" applyAlignment="1">
      <alignment horizontal="left" vertical="top" wrapText="1"/>
    </xf>
    <xf numFmtId="169" fontId="56" fillId="0" borderId="20" xfId="1778" applyFont="1" applyBorder="1" applyAlignment="1">
      <alignment horizontal="center" vertical="center"/>
    </xf>
    <xf numFmtId="169" fontId="56" fillId="0" borderId="0" xfId="1778" applyFont="1" applyAlignment="1">
      <alignment horizontal="center" vertical="center"/>
    </xf>
    <xf numFmtId="169" fontId="56" fillId="0" borderId="2" xfId="1778" applyFont="1" applyBorder="1" applyAlignment="1">
      <alignment horizontal="center" vertical="center" wrapText="1"/>
    </xf>
    <xf numFmtId="169" fontId="56" fillId="0" borderId="2" xfId="1778" applyFont="1" applyBorder="1" applyAlignment="1">
      <alignment horizontal="center" vertical="center"/>
    </xf>
    <xf numFmtId="0" fontId="33" fillId="0" borderId="0" xfId="1778" applyNumberFormat="1" applyFont="1" applyAlignment="1">
      <alignment horizontal="left" vertical="top" wrapText="1"/>
    </xf>
    <xf numFmtId="2" fontId="56" fillId="0" borderId="5" xfId="1780" applyNumberFormat="1" applyFont="1" applyBorder="1" applyAlignment="1">
      <alignment horizontal="center" vertical="center" wrapText="1"/>
    </xf>
    <xf numFmtId="2" fontId="56" fillId="0" borderId="3" xfId="1780" applyNumberFormat="1" applyFont="1" applyBorder="1" applyAlignment="1">
      <alignment horizontal="center" vertical="center" wrapText="1"/>
    </xf>
    <xf numFmtId="14" fontId="76" fillId="2" borderId="53" xfId="2056" applyNumberFormat="1" applyFont="1" applyFill="1" applyBorder="1" applyAlignment="1">
      <alignment horizontal="center" vertical="center"/>
    </xf>
    <xf numFmtId="14" fontId="76" fillId="2" borderId="39" xfId="2056" applyNumberFormat="1" applyFont="1" applyFill="1" applyBorder="1" applyAlignment="1">
      <alignment horizontal="center" vertical="center"/>
    </xf>
    <xf numFmtId="169" fontId="75" fillId="2" borderId="59" xfId="2056" applyNumberFormat="1" applyFont="1" applyFill="1" applyBorder="1" applyAlignment="1">
      <alignment horizontal="center" vertical="center"/>
    </xf>
    <xf numFmtId="169" fontId="75" fillId="2" borderId="80" xfId="2056" applyNumberFormat="1" applyFont="1" applyFill="1" applyBorder="1" applyAlignment="1">
      <alignment horizontal="center" vertical="center"/>
    </xf>
    <xf numFmtId="14" fontId="76" fillId="2" borderId="66" xfId="2056" applyNumberFormat="1" applyFont="1" applyFill="1" applyBorder="1" applyAlignment="1">
      <alignment horizontal="center" vertical="center"/>
    </xf>
    <xf numFmtId="169" fontId="75" fillId="2" borderId="60" xfId="2056" applyNumberFormat="1" applyFont="1" applyFill="1" applyBorder="1" applyAlignment="1">
      <alignment horizontal="center" vertical="center"/>
    </xf>
    <xf numFmtId="169" fontId="75" fillId="2" borderId="54" xfId="2056" applyNumberFormat="1" applyFont="1" applyFill="1" applyBorder="1" applyAlignment="1">
      <alignment horizontal="center" vertical="center"/>
    </xf>
    <xf numFmtId="0" fontId="67" fillId="2" borderId="1" xfId="9" applyFont="1" applyFill="1" applyBorder="1" applyAlignment="1">
      <alignment horizontal="center"/>
    </xf>
    <xf numFmtId="0" fontId="67" fillId="2" borderId="6" xfId="9" applyFont="1" applyFill="1" applyBorder="1" applyAlignment="1">
      <alignment horizontal="center"/>
    </xf>
    <xf numFmtId="0" fontId="67" fillId="2" borderId="1" xfId="9" applyFont="1" applyFill="1" applyBorder="1" applyAlignment="1">
      <alignment horizontal="center" vertical="center" wrapText="1"/>
    </xf>
    <xf numFmtId="0" fontId="65" fillId="0" borderId="11" xfId="4" applyFont="1" applyBorder="1" applyAlignment="1">
      <alignment horizontal="center" vertical="center" wrapText="1"/>
    </xf>
    <xf numFmtId="0" fontId="61" fillId="0" borderId="0" xfId="4" applyFont="1" applyAlignment="1">
      <alignment wrapText="1"/>
    </xf>
    <xf numFmtId="0" fontId="65" fillId="0" borderId="11" xfId="4" applyFont="1" applyBorder="1" applyAlignment="1">
      <alignment horizontal="center" wrapText="1"/>
    </xf>
    <xf numFmtId="0" fontId="65" fillId="0" borderId="11" xfId="4" applyFont="1" applyBorder="1" applyAlignment="1">
      <alignment horizontal="center" vertical="center"/>
    </xf>
    <xf numFmtId="0" fontId="65" fillId="0" borderId="14" xfId="4" applyFont="1" applyBorder="1" applyAlignment="1">
      <alignment horizontal="center" vertical="center" wrapText="1"/>
    </xf>
    <xf numFmtId="0" fontId="56" fillId="0" borderId="46" xfId="0" applyFont="1" applyBorder="1" applyAlignment="1">
      <alignment horizontal="center"/>
    </xf>
    <xf numFmtId="0" fontId="56" fillId="0" borderId="18" xfId="0" applyFont="1" applyBorder="1" applyAlignment="1">
      <alignment horizontal="center"/>
    </xf>
    <xf numFmtId="0" fontId="56" fillId="0" borderId="19" xfId="0" applyFont="1" applyBorder="1" applyAlignment="1">
      <alignment horizontal="center"/>
    </xf>
    <xf numFmtId="0" fontId="56" fillId="0" borderId="20" xfId="0" applyFont="1" applyBorder="1" applyAlignment="1" applyProtection="1">
      <alignment horizontal="center" wrapText="1"/>
      <protection locked="0"/>
    </xf>
    <xf numFmtId="0" fontId="33" fillId="0" borderId="18" xfId="0" applyFont="1" applyBorder="1" applyAlignment="1">
      <alignment horizontal="left" wrapText="1"/>
    </xf>
    <xf numFmtId="0" fontId="33" fillId="0" borderId="18" xfId="0" applyFont="1" applyBorder="1" applyAlignment="1">
      <alignment horizontal="left"/>
    </xf>
    <xf numFmtId="0" fontId="33" fillId="0" borderId="0" xfId="0" applyFont="1" applyAlignment="1">
      <alignment horizontal="left"/>
    </xf>
    <xf numFmtId="0" fontId="56" fillId="16" borderId="67" xfId="0" applyFont="1" applyFill="1" applyBorder="1" applyAlignment="1">
      <alignment horizontal="center"/>
    </xf>
    <xf numFmtId="0" fontId="56" fillId="16" borderId="31" xfId="0" applyFont="1" applyFill="1" applyBorder="1" applyAlignment="1">
      <alignment horizontal="center"/>
    </xf>
    <xf numFmtId="0" fontId="56" fillId="16" borderId="77" xfId="0" applyFont="1" applyFill="1" applyBorder="1" applyAlignment="1">
      <alignment horizontal="center"/>
    </xf>
    <xf numFmtId="0" fontId="76" fillId="0" borderId="12" xfId="1776" applyFont="1" applyBorder="1" applyAlignment="1">
      <alignment horizontal="center" vertical="center" wrapText="1"/>
    </xf>
    <xf numFmtId="0" fontId="76" fillId="0" borderId="13" xfId="1776" applyFont="1" applyBorder="1" applyAlignment="1">
      <alignment horizontal="center" vertical="center" wrapText="1"/>
    </xf>
    <xf numFmtId="0" fontId="76" fillId="0" borderId="43" xfId="1776" applyFont="1" applyBorder="1" applyAlignment="1">
      <alignment horizontal="center" vertical="center" wrapText="1"/>
    </xf>
    <xf numFmtId="0" fontId="76" fillId="0" borderId="6" xfId="1776" applyFont="1" applyBorder="1" applyAlignment="1">
      <alignment horizontal="center" vertical="center" wrapText="1"/>
    </xf>
    <xf numFmtId="0" fontId="76" fillId="0" borderId="7" xfId="1776" applyFont="1" applyBorder="1" applyAlignment="1">
      <alignment horizontal="center" vertical="center" wrapText="1"/>
    </xf>
    <xf numFmtId="0" fontId="76" fillId="0" borderId="44" xfId="1776" applyFont="1" applyBorder="1" applyAlignment="1">
      <alignment horizontal="center" vertical="center" wrapText="1"/>
    </xf>
    <xf numFmtId="0" fontId="76" fillId="0" borderId="58" xfId="1776" applyFont="1" applyBorder="1" applyAlignment="1">
      <alignment horizontal="center" vertical="center" wrapText="1"/>
    </xf>
    <xf numFmtId="0" fontId="76" fillId="0" borderId="51" xfId="1776" applyFont="1" applyBorder="1" applyAlignment="1">
      <alignment horizontal="center" vertical="center" wrapText="1"/>
    </xf>
    <xf numFmtId="0" fontId="76" fillId="0" borderId="52" xfId="1776" applyFont="1" applyBorder="1" applyAlignment="1">
      <alignment horizontal="center" vertical="center" wrapText="1"/>
    </xf>
    <xf numFmtId="0" fontId="76" fillId="0" borderId="55" xfId="1776" applyFont="1" applyBorder="1" applyAlignment="1">
      <alignment horizontal="center"/>
    </xf>
    <xf numFmtId="0" fontId="76" fillId="0" borderId="49" xfId="1776" applyFont="1" applyBorder="1" applyAlignment="1">
      <alignment horizontal="center"/>
    </xf>
    <xf numFmtId="0" fontId="76" fillId="0" borderId="50" xfId="1776" applyFont="1" applyBorder="1" applyAlignment="1">
      <alignment horizontal="center"/>
    </xf>
    <xf numFmtId="0" fontId="56" fillId="0" borderId="0" xfId="0" applyFont="1" applyAlignment="1">
      <alignment horizontal="center"/>
    </xf>
    <xf numFmtId="0" fontId="76" fillId="0" borderId="64" xfId="1776" applyFont="1" applyBorder="1" applyAlignment="1">
      <alignment horizontal="center" vertical="center" wrapText="1"/>
    </xf>
    <xf numFmtId="0" fontId="76" fillId="0" borderId="65" xfId="1776" applyFont="1" applyBorder="1" applyAlignment="1">
      <alignment horizontal="center" vertical="center" wrapText="1"/>
    </xf>
    <xf numFmtId="0" fontId="56" fillId="16" borderId="34" xfId="0" applyFont="1" applyFill="1" applyBorder="1" applyAlignment="1">
      <alignment horizontal="center"/>
    </xf>
    <xf numFmtId="0" fontId="33" fillId="0" borderId="0" xfId="0" applyFont="1" applyAlignment="1">
      <alignment horizontal="center"/>
    </xf>
    <xf numFmtId="0" fontId="75" fillId="2" borderId="39" xfId="0" applyFont="1" applyFill="1" applyBorder="1" applyAlignment="1">
      <alignment horizontal="center" vertical="center" wrapText="1"/>
    </xf>
    <xf numFmtId="0" fontId="75" fillId="2" borderId="40" xfId="0" applyFont="1" applyFill="1" applyBorder="1" applyAlignment="1">
      <alignment horizontal="center" vertical="center" wrapText="1"/>
    </xf>
    <xf numFmtId="0" fontId="75" fillId="2" borderId="53" xfId="0" applyFont="1" applyFill="1" applyBorder="1" applyAlignment="1">
      <alignment horizontal="center" vertical="center"/>
    </xf>
    <xf numFmtId="0" fontId="75" fillId="2" borderId="78" xfId="0" applyFont="1" applyFill="1" applyBorder="1" applyAlignment="1">
      <alignment horizontal="center" vertical="center"/>
    </xf>
    <xf numFmtId="0" fontId="75" fillId="2" borderId="39" xfId="0" applyFont="1" applyFill="1" applyBorder="1" applyAlignment="1">
      <alignment horizontal="center" vertical="center"/>
    </xf>
    <xf numFmtId="0" fontId="75" fillId="2" borderId="40" xfId="0" applyFont="1" applyFill="1" applyBorder="1" applyAlignment="1">
      <alignment horizontal="center" vertical="center"/>
    </xf>
  </cellXfs>
  <cellStyles count="2057">
    <cellStyle name="_Rid_2_S691_S148_S147" xfId="1781" xr:uid="{00000000-0005-0000-0000-000000000000}"/>
    <cellStyle name="0%" xfId="27" xr:uid="{00000000-0005-0000-0000-000001000000}"/>
    <cellStyle name="0% 2" xfId="28" xr:uid="{00000000-0005-0000-0000-000002000000}"/>
    <cellStyle name="0% 2 2" xfId="976" xr:uid="{00000000-0005-0000-0000-000003000000}"/>
    <cellStyle name="0% 3" xfId="29" xr:uid="{00000000-0005-0000-0000-000004000000}"/>
    <cellStyle name="0% 3 2" xfId="977" xr:uid="{00000000-0005-0000-0000-000005000000}"/>
    <cellStyle name="0% 4" xfId="30" xr:uid="{00000000-0005-0000-0000-000006000000}"/>
    <cellStyle name="0% 4 2" xfId="978" xr:uid="{00000000-0005-0000-0000-000007000000}"/>
    <cellStyle name="0% 5" xfId="158" xr:uid="{00000000-0005-0000-0000-000008000000}"/>
    <cellStyle name="0% 5 2" xfId="979" xr:uid="{00000000-0005-0000-0000-000009000000}"/>
    <cellStyle name="0% 6" xfId="159" xr:uid="{00000000-0005-0000-0000-00000A000000}"/>
    <cellStyle name="0% 6 2" xfId="980" xr:uid="{00000000-0005-0000-0000-00000B000000}"/>
    <cellStyle name="0% 7" xfId="160" xr:uid="{00000000-0005-0000-0000-00000C000000}"/>
    <cellStyle name="0% 7 2" xfId="981" xr:uid="{00000000-0005-0000-0000-00000D000000}"/>
    <cellStyle name="0% 8" xfId="161" xr:uid="{00000000-0005-0000-0000-00000E000000}"/>
    <cellStyle name="0% 8 2" xfId="982" xr:uid="{00000000-0005-0000-0000-00000F000000}"/>
    <cellStyle name="0.0%" xfId="31" xr:uid="{00000000-0005-0000-0000-000010000000}"/>
    <cellStyle name="0.00%" xfId="32" xr:uid="{00000000-0005-0000-0000-000011000000}"/>
    <cellStyle name="³f¹ô[0]_pldt" xfId="33" xr:uid="{00000000-0005-0000-0000-000012000000}"/>
    <cellStyle name="³f¹ô_pldt" xfId="34" xr:uid="{00000000-0005-0000-0000-000013000000}"/>
    <cellStyle name="Actual Date" xfId="983" xr:uid="{00000000-0005-0000-0000-000014000000}"/>
    <cellStyle name="bill" xfId="35" xr:uid="{00000000-0005-0000-0000-000015000000}"/>
    <cellStyle name="blank" xfId="984" xr:uid="{00000000-0005-0000-0000-000016000000}"/>
    <cellStyle name="Border" xfId="985" xr:uid="{00000000-0005-0000-0000-000017000000}"/>
    <cellStyle name="Border 2" xfId="986" xr:uid="{00000000-0005-0000-0000-000018000000}"/>
    <cellStyle name="Border 3" xfId="987" xr:uid="{00000000-0005-0000-0000-000019000000}"/>
    <cellStyle name="Border 4" xfId="988" xr:uid="{00000000-0005-0000-0000-00001A000000}"/>
    <cellStyle name="Border 5" xfId="989" xr:uid="{00000000-0005-0000-0000-00001B000000}"/>
    <cellStyle name="Calc Currency (0)" xfId="990" xr:uid="{00000000-0005-0000-0000-00001C000000}"/>
    <cellStyle name="CEH" xfId="36" xr:uid="{00000000-0005-0000-0000-00001D000000}"/>
    <cellStyle name="CEH 2" xfId="37" xr:uid="{00000000-0005-0000-0000-00001E000000}"/>
    <cellStyle name="CEH 3" xfId="38" xr:uid="{00000000-0005-0000-0000-00001F000000}"/>
    <cellStyle name="CEH 4" xfId="39" xr:uid="{00000000-0005-0000-0000-000020000000}"/>
    <cellStyle name="Col Heads" xfId="40" xr:uid="{00000000-0005-0000-0000-000021000000}"/>
    <cellStyle name="Comma 10" xfId="162" xr:uid="{00000000-0005-0000-0000-000023000000}"/>
    <cellStyle name="Comma 10 2" xfId="163" xr:uid="{00000000-0005-0000-0000-000024000000}"/>
    <cellStyle name="Comma 10 2 2" xfId="991" xr:uid="{00000000-0005-0000-0000-000025000000}"/>
    <cellStyle name="Comma 10 3" xfId="164" xr:uid="{00000000-0005-0000-0000-000026000000}"/>
    <cellStyle name="Comma 10 3 2" xfId="992" xr:uid="{00000000-0005-0000-0000-000027000000}"/>
    <cellStyle name="Comma 10 4" xfId="993" xr:uid="{00000000-0005-0000-0000-000028000000}"/>
    <cellStyle name="Comma 2" xfId="42" xr:uid="{00000000-0005-0000-0000-000029000000}"/>
    <cellStyle name="Comma 2 2" xfId="165" xr:uid="{00000000-0005-0000-0000-00002A000000}"/>
    <cellStyle name="Comma 2 2 2" xfId="994" xr:uid="{00000000-0005-0000-0000-00002B000000}"/>
    <cellStyle name="Comma 2 3" xfId="933" xr:uid="{00000000-0005-0000-0000-00002C000000}"/>
    <cellStyle name="Comma 2 3 2" xfId="1943" xr:uid="{00000000-0005-0000-0000-00002D000000}"/>
    <cellStyle name="Comma 2 4" xfId="1801" xr:uid="{00000000-0005-0000-0000-00002E000000}"/>
    <cellStyle name="Comma 3" xfId="43" xr:uid="{00000000-0005-0000-0000-00002F000000}"/>
    <cellStyle name="Comma 3 10" xfId="166" xr:uid="{00000000-0005-0000-0000-000030000000}"/>
    <cellStyle name="Comma 3 10 2" xfId="995" xr:uid="{00000000-0005-0000-0000-000031000000}"/>
    <cellStyle name="Comma 3 11" xfId="167" xr:uid="{00000000-0005-0000-0000-000032000000}"/>
    <cellStyle name="Comma 3 11 2" xfId="1835" xr:uid="{00000000-0005-0000-0000-000033000000}"/>
    <cellStyle name="Comma 3 12" xfId="996" xr:uid="{00000000-0005-0000-0000-000034000000}"/>
    <cellStyle name="Comma 3 12 2" xfId="1986" xr:uid="{00000000-0005-0000-0000-000035000000}"/>
    <cellStyle name="Comma 3 13" xfId="997" xr:uid="{00000000-0005-0000-0000-000036000000}"/>
    <cellStyle name="Comma 3 13 2" xfId="1987" xr:uid="{00000000-0005-0000-0000-000037000000}"/>
    <cellStyle name="Comma 3 14" xfId="998" xr:uid="{00000000-0005-0000-0000-000038000000}"/>
    <cellStyle name="Comma 3 14 2" xfId="1988" xr:uid="{00000000-0005-0000-0000-000039000000}"/>
    <cellStyle name="Comma 3 15" xfId="999" xr:uid="{00000000-0005-0000-0000-00003A000000}"/>
    <cellStyle name="Comma 3 15 2" xfId="1989" xr:uid="{00000000-0005-0000-0000-00003B000000}"/>
    <cellStyle name="Comma 3 16" xfId="1000" xr:uid="{00000000-0005-0000-0000-00003C000000}"/>
    <cellStyle name="Comma 3 16 2" xfId="1990" xr:uid="{00000000-0005-0000-0000-00003D000000}"/>
    <cellStyle name="Comma 3 17" xfId="1001" xr:uid="{00000000-0005-0000-0000-00003E000000}"/>
    <cellStyle name="Comma 3 17 2" xfId="1991" xr:uid="{00000000-0005-0000-0000-00003F000000}"/>
    <cellStyle name="Comma 3 18" xfId="1002" xr:uid="{00000000-0005-0000-0000-000040000000}"/>
    <cellStyle name="Comma 3 18 2" xfId="1992" xr:uid="{00000000-0005-0000-0000-000041000000}"/>
    <cellStyle name="Comma 3 19" xfId="1003" xr:uid="{00000000-0005-0000-0000-000042000000}"/>
    <cellStyle name="Comma 3 19 2" xfId="1993" xr:uid="{00000000-0005-0000-0000-000043000000}"/>
    <cellStyle name="Comma 3 2" xfId="44" xr:uid="{00000000-0005-0000-0000-000044000000}"/>
    <cellStyle name="Comma 3 2 2" xfId="45" xr:uid="{00000000-0005-0000-0000-000045000000}"/>
    <cellStyle name="Comma 3 2 2 2" xfId="935" xr:uid="{00000000-0005-0000-0000-000046000000}"/>
    <cellStyle name="Comma 3 2 2 2 2" xfId="1945" xr:uid="{00000000-0005-0000-0000-000047000000}"/>
    <cellStyle name="Comma 3 2 2 3" xfId="1804" xr:uid="{00000000-0005-0000-0000-000048000000}"/>
    <cellStyle name="Comma 3 2 3" xfId="934" xr:uid="{00000000-0005-0000-0000-000049000000}"/>
    <cellStyle name="Comma 3 2 3 2" xfId="1944" xr:uid="{00000000-0005-0000-0000-00004A000000}"/>
    <cellStyle name="Comma 3 2 4" xfId="1803" xr:uid="{00000000-0005-0000-0000-00004B000000}"/>
    <cellStyle name="Comma 3 20" xfId="1004" xr:uid="{00000000-0005-0000-0000-00004C000000}"/>
    <cellStyle name="Comma 3 20 2" xfId="1994" xr:uid="{00000000-0005-0000-0000-00004D000000}"/>
    <cellStyle name="Comma 3 21" xfId="1005" xr:uid="{00000000-0005-0000-0000-00004E000000}"/>
    <cellStyle name="Comma 3 21 2" xfId="1995" xr:uid="{00000000-0005-0000-0000-00004F000000}"/>
    <cellStyle name="Comma 3 22" xfId="1006" xr:uid="{00000000-0005-0000-0000-000050000000}"/>
    <cellStyle name="Comma 3 22 2" xfId="1996" xr:uid="{00000000-0005-0000-0000-000051000000}"/>
    <cellStyle name="Comma 3 23" xfId="1007" xr:uid="{00000000-0005-0000-0000-000052000000}"/>
    <cellStyle name="Comma 3 23 2" xfId="1997" xr:uid="{00000000-0005-0000-0000-000053000000}"/>
    <cellStyle name="Comma 3 24" xfId="1008" xr:uid="{00000000-0005-0000-0000-000054000000}"/>
    <cellStyle name="Comma 3 24 2" xfId="1998" xr:uid="{00000000-0005-0000-0000-000055000000}"/>
    <cellStyle name="Comma 3 25" xfId="1009" xr:uid="{00000000-0005-0000-0000-000056000000}"/>
    <cellStyle name="Comma 3 25 2" xfId="1999" xr:uid="{00000000-0005-0000-0000-000057000000}"/>
    <cellStyle name="Comma 3 26" xfId="1802" xr:uid="{00000000-0005-0000-0000-000058000000}"/>
    <cellStyle name="Comma 3 3" xfId="46" xr:uid="{00000000-0005-0000-0000-000059000000}"/>
    <cellStyle name="Comma 3 3 2" xfId="936" xr:uid="{00000000-0005-0000-0000-00005A000000}"/>
    <cellStyle name="Comma 3 3 2 2" xfId="1946" xr:uid="{00000000-0005-0000-0000-00005B000000}"/>
    <cellStyle name="Comma 3 3 3" xfId="1805" xr:uid="{00000000-0005-0000-0000-00005C000000}"/>
    <cellStyle name="Comma 3 4" xfId="47" xr:uid="{00000000-0005-0000-0000-00005D000000}"/>
    <cellStyle name="Comma 3 4 2" xfId="937" xr:uid="{00000000-0005-0000-0000-00005E000000}"/>
    <cellStyle name="Comma 3 4 2 2" xfId="1947" xr:uid="{00000000-0005-0000-0000-00005F000000}"/>
    <cellStyle name="Comma 3 4 3" xfId="1806" xr:uid="{00000000-0005-0000-0000-000060000000}"/>
    <cellStyle name="Comma 3 5" xfId="48" xr:uid="{00000000-0005-0000-0000-000061000000}"/>
    <cellStyle name="Comma 3 5 2" xfId="938" xr:uid="{00000000-0005-0000-0000-000062000000}"/>
    <cellStyle name="Comma 3 5 2 2" xfId="1948" xr:uid="{00000000-0005-0000-0000-000063000000}"/>
    <cellStyle name="Comma 3 5 3" xfId="1807" xr:uid="{00000000-0005-0000-0000-000064000000}"/>
    <cellStyle name="Comma 3 6" xfId="49" xr:uid="{00000000-0005-0000-0000-000065000000}"/>
    <cellStyle name="Comma 3 6 2" xfId="939" xr:uid="{00000000-0005-0000-0000-000066000000}"/>
    <cellStyle name="Comma 3 6 2 2" xfId="1949" xr:uid="{00000000-0005-0000-0000-000067000000}"/>
    <cellStyle name="Comma 3 6 3" xfId="1808" xr:uid="{00000000-0005-0000-0000-000068000000}"/>
    <cellStyle name="Comma 3 7" xfId="50" xr:uid="{00000000-0005-0000-0000-000069000000}"/>
    <cellStyle name="Comma 3 7 2" xfId="51" xr:uid="{00000000-0005-0000-0000-00006A000000}"/>
    <cellStyle name="Comma 3 7 2 2" xfId="940" xr:uid="{00000000-0005-0000-0000-00006B000000}"/>
    <cellStyle name="Comma 3 7 2 2 2" xfId="1950" xr:uid="{00000000-0005-0000-0000-00006C000000}"/>
    <cellStyle name="Comma 3 7 2 3" xfId="1809" xr:uid="{00000000-0005-0000-0000-00006D000000}"/>
    <cellStyle name="Comma 3 7 3" xfId="1010" xr:uid="{00000000-0005-0000-0000-00006E000000}"/>
    <cellStyle name="Comma 3 8" xfId="168" xr:uid="{00000000-0005-0000-0000-00006F000000}"/>
    <cellStyle name="Comma 3 8 2" xfId="1011" xr:uid="{00000000-0005-0000-0000-000070000000}"/>
    <cellStyle name="Comma 3 9" xfId="169" xr:uid="{00000000-0005-0000-0000-000071000000}"/>
    <cellStyle name="Comma 3 9 2" xfId="1012" xr:uid="{00000000-0005-0000-0000-000072000000}"/>
    <cellStyle name="Comma 4" xfId="52" xr:uid="{00000000-0005-0000-0000-000073000000}"/>
    <cellStyle name="Comma 4 2" xfId="170" xr:uid="{00000000-0005-0000-0000-000074000000}"/>
    <cellStyle name="Comma 4 2 2" xfId="1013" xr:uid="{00000000-0005-0000-0000-000075000000}"/>
    <cellStyle name="Comma 5" xfId="171" xr:uid="{00000000-0005-0000-0000-000076000000}"/>
    <cellStyle name="Comma 5 2" xfId="1014" xr:uid="{00000000-0005-0000-0000-000077000000}"/>
    <cellStyle name="Comma 6" xfId="1015" xr:uid="{00000000-0005-0000-0000-000078000000}"/>
    <cellStyle name="Comma 6 2" xfId="2000" xr:uid="{00000000-0005-0000-0000-000079000000}"/>
    <cellStyle name="Comma 7" xfId="41" xr:uid="{00000000-0005-0000-0000-00007A000000}"/>
    <cellStyle name="Comma 7 2" xfId="1800" xr:uid="{00000000-0005-0000-0000-00007B000000}"/>
    <cellStyle name="Comma,0" xfId="53" xr:uid="{00000000-0005-0000-0000-00007C000000}"/>
    <cellStyle name="Comma,1" xfId="54" xr:uid="{00000000-0005-0000-0000-00007D000000}"/>
    <cellStyle name="Comma,2" xfId="55" xr:uid="{00000000-0005-0000-0000-00007E000000}"/>
    <cellStyle name="Comma_BoilerCalc" xfId="7" xr:uid="{00000000-0005-0000-0000-00007F000000}"/>
    <cellStyle name="Comma0" xfId="56" xr:uid="{00000000-0005-0000-0000-000080000000}"/>
    <cellStyle name="Comma0 2" xfId="57" xr:uid="{00000000-0005-0000-0000-000081000000}"/>
    <cellStyle name="Comma0 2 2" xfId="1016" xr:uid="{00000000-0005-0000-0000-000082000000}"/>
    <cellStyle name="Comma0 3" xfId="58" xr:uid="{00000000-0005-0000-0000-000083000000}"/>
    <cellStyle name="Comma0 3 2" xfId="1017" xr:uid="{00000000-0005-0000-0000-000084000000}"/>
    <cellStyle name="Comma0 4" xfId="59" xr:uid="{00000000-0005-0000-0000-000085000000}"/>
    <cellStyle name="Comma0 4 2" xfId="1018" xr:uid="{00000000-0005-0000-0000-000086000000}"/>
    <cellStyle name="Comma0 5" xfId="172" xr:uid="{00000000-0005-0000-0000-000087000000}"/>
    <cellStyle name="Comma0 5 2" xfId="1019" xr:uid="{00000000-0005-0000-0000-000088000000}"/>
    <cellStyle name="Comma0 6" xfId="173" xr:uid="{00000000-0005-0000-0000-000089000000}"/>
    <cellStyle name="Comma0 6 2" xfId="1020" xr:uid="{00000000-0005-0000-0000-00008A000000}"/>
    <cellStyle name="Comma0 7" xfId="174" xr:uid="{00000000-0005-0000-0000-00008B000000}"/>
    <cellStyle name="Comma0 7 2" xfId="1021" xr:uid="{00000000-0005-0000-0000-00008C000000}"/>
    <cellStyle name="Comma0 8" xfId="175" xr:uid="{00000000-0005-0000-0000-00008D000000}"/>
    <cellStyle name="Comma0 8 2" xfId="1022" xr:uid="{00000000-0005-0000-0000-00008E000000}"/>
    <cellStyle name="Comma0 9" xfId="1023" xr:uid="{00000000-0005-0000-0000-00008F000000}"/>
    <cellStyle name="CommentShade" xfId="60" xr:uid="{00000000-0005-0000-0000-000090000000}"/>
    <cellStyle name="Copied" xfId="1024" xr:uid="{00000000-0005-0000-0000-000091000000}"/>
    <cellStyle name="Currency 2" xfId="61" xr:uid="{00000000-0005-0000-0000-000092000000}"/>
    <cellStyle name="Currency 2 2" xfId="176" xr:uid="{00000000-0005-0000-0000-000093000000}"/>
    <cellStyle name="Currency 2 2 2" xfId="1836" xr:uid="{00000000-0005-0000-0000-000094000000}"/>
    <cellStyle name="Currency 3" xfId="1025" xr:uid="{00000000-0005-0000-0000-000095000000}"/>
    <cellStyle name="Currency 4" xfId="1026" xr:uid="{00000000-0005-0000-0000-000096000000}"/>
    <cellStyle name="Currency,0" xfId="62" xr:uid="{00000000-0005-0000-0000-000097000000}"/>
    <cellStyle name="Currency,2" xfId="63" xr:uid="{00000000-0005-0000-0000-000098000000}"/>
    <cellStyle name="Currency0" xfId="64" xr:uid="{00000000-0005-0000-0000-000099000000}"/>
    <cellStyle name="Currency0 2" xfId="65" xr:uid="{00000000-0005-0000-0000-00009A000000}"/>
    <cellStyle name="Currency0 2 2" xfId="1027" xr:uid="{00000000-0005-0000-0000-00009B000000}"/>
    <cellStyle name="Currency0 3" xfId="66" xr:uid="{00000000-0005-0000-0000-00009C000000}"/>
    <cellStyle name="Currency0 3 2" xfId="1028" xr:uid="{00000000-0005-0000-0000-00009D000000}"/>
    <cellStyle name="Currency0 4" xfId="67" xr:uid="{00000000-0005-0000-0000-00009E000000}"/>
    <cellStyle name="Currency0 4 2" xfId="1029" xr:uid="{00000000-0005-0000-0000-00009F000000}"/>
    <cellStyle name="Currency0 5" xfId="177" xr:uid="{00000000-0005-0000-0000-0000A0000000}"/>
    <cellStyle name="Currency0 5 2" xfId="1030" xr:uid="{00000000-0005-0000-0000-0000A1000000}"/>
    <cellStyle name="Currency0 6" xfId="178" xr:uid="{00000000-0005-0000-0000-0000A2000000}"/>
    <cellStyle name="Currency0 6 2" xfId="1031" xr:uid="{00000000-0005-0000-0000-0000A3000000}"/>
    <cellStyle name="Currency0 7" xfId="179" xr:uid="{00000000-0005-0000-0000-0000A4000000}"/>
    <cellStyle name="Currency0 7 2" xfId="1032" xr:uid="{00000000-0005-0000-0000-0000A5000000}"/>
    <cellStyle name="Currency0 8" xfId="180" xr:uid="{00000000-0005-0000-0000-0000A6000000}"/>
    <cellStyle name="Currency0 8 2" xfId="1033" xr:uid="{00000000-0005-0000-0000-0000A7000000}"/>
    <cellStyle name="Currency0 9" xfId="1034" xr:uid="{00000000-0005-0000-0000-0000A8000000}"/>
    <cellStyle name="Date" xfId="68" xr:uid="{00000000-0005-0000-0000-0000A9000000}"/>
    <cellStyle name="Date 2" xfId="69" xr:uid="{00000000-0005-0000-0000-0000AA000000}"/>
    <cellStyle name="Date 2 2" xfId="1035" xr:uid="{00000000-0005-0000-0000-0000AB000000}"/>
    <cellStyle name="Date 3" xfId="70" xr:uid="{00000000-0005-0000-0000-0000AC000000}"/>
    <cellStyle name="Date 3 2" xfId="1036" xr:uid="{00000000-0005-0000-0000-0000AD000000}"/>
    <cellStyle name="Date 4" xfId="71" xr:uid="{00000000-0005-0000-0000-0000AE000000}"/>
    <cellStyle name="Date 4 2" xfId="1037" xr:uid="{00000000-0005-0000-0000-0000AF000000}"/>
    <cellStyle name="Date 5" xfId="181" xr:uid="{00000000-0005-0000-0000-0000B0000000}"/>
    <cellStyle name="Date 5 2" xfId="1038" xr:uid="{00000000-0005-0000-0000-0000B1000000}"/>
    <cellStyle name="Date 6" xfId="182" xr:uid="{00000000-0005-0000-0000-0000B2000000}"/>
    <cellStyle name="Date 6 2" xfId="1039" xr:uid="{00000000-0005-0000-0000-0000B3000000}"/>
    <cellStyle name="Date 7" xfId="183" xr:uid="{00000000-0005-0000-0000-0000B4000000}"/>
    <cellStyle name="Date 7 2" xfId="1040" xr:uid="{00000000-0005-0000-0000-0000B5000000}"/>
    <cellStyle name="Date 8" xfId="184" xr:uid="{00000000-0005-0000-0000-0000B6000000}"/>
    <cellStyle name="Date 8 2" xfId="1041" xr:uid="{00000000-0005-0000-0000-0000B7000000}"/>
    <cellStyle name="Entered" xfId="1042" xr:uid="{00000000-0005-0000-0000-0000B8000000}"/>
    <cellStyle name="Epa" xfId="1043" xr:uid="{00000000-0005-0000-0000-0000B9000000}"/>
    <cellStyle name="Euro" xfId="72" xr:uid="{00000000-0005-0000-0000-0000BA000000}"/>
    <cellStyle name="Fixed" xfId="73" xr:uid="{00000000-0005-0000-0000-0000BB000000}"/>
    <cellStyle name="Fixed 2" xfId="74" xr:uid="{00000000-0005-0000-0000-0000BC000000}"/>
    <cellStyle name="Fixed 2 2" xfId="1044" xr:uid="{00000000-0005-0000-0000-0000BD000000}"/>
    <cellStyle name="Fixed 3" xfId="75" xr:uid="{00000000-0005-0000-0000-0000BE000000}"/>
    <cellStyle name="Fixed 3 2" xfId="1045" xr:uid="{00000000-0005-0000-0000-0000BF000000}"/>
    <cellStyle name="Fixed 4" xfId="76" xr:uid="{00000000-0005-0000-0000-0000C0000000}"/>
    <cellStyle name="Fixed 4 2" xfId="1046" xr:uid="{00000000-0005-0000-0000-0000C1000000}"/>
    <cellStyle name="Fixed 5" xfId="185" xr:uid="{00000000-0005-0000-0000-0000C2000000}"/>
    <cellStyle name="Fixed 5 2" xfId="1047" xr:uid="{00000000-0005-0000-0000-0000C3000000}"/>
    <cellStyle name="Fixed 6" xfId="186" xr:uid="{00000000-0005-0000-0000-0000C4000000}"/>
    <cellStyle name="Fixed 6 2" xfId="1048" xr:uid="{00000000-0005-0000-0000-0000C5000000}"/>
    <cellStyle name="Fixed 7" xfId="187" xr:uid="{00000000-0005-0000-0000-0000C6000000}"/>
    <cellStyle name="Fixed 7 2" xfId="1049" xr:uid="{00000000-0005-0000-0000-0000C7000000}"/>
    <cellStyle name="Fixed 8" xfId="188" xr:uid="{00000000-0005-0000-0000-0000C8000000}"/>
    <cellStyle name="Fixed 8 2" xfId="1050" xr:uid="{00000000-0005-0000-0000-0000C9000000}"/>
    <cellStyle name="Footnotes" xfId="1051" xr:uid="{00000000-0005-0000-0000-0000CA000000}"/>
    <cellStyle name="Grey" xfId="77" xr:uid="{00000000-0005-0000-0000-0000CB000000}"/>
    <cellStyle name="Grey 2" xfId="78" xr:uid="{00000000-0005-0000-0000-0000CC000000}"/>
    <cellStyle name="Grey 3" xfId="79" xr:uid="{00000000-0005-0000-0000-0000CD000000}"/>
    <cellStyle name="Grey 4" xfId="80" xr:uid="{00000000-0005-0000-0000-0000CE000000}"/>
    <cellStyle name="Grey 5" xfId="189" xr:uid="{00000000-0005-0000-0000-0000CF000000}"/>
    <cellStyle name="Grey 6" xfId="190" xr:uid="{00000000-0005-0000-0000-0000D0000000}"/>
    <cellStyle name="Grey 7" xfId="191" xr:uid="{00000000-0005-0000-0000-0000D1000000}"/>
    <cellStyle name="Grey 8" xfId="192" xr:uid="{00000000-0005-0000-0000-0000D2000000}"/>
    <cellStyle name="HEADER" xfId="1052" xr:uid="{00000000-0005-0000-0000-0000D3000000}"/>
    <cellStyle name="Header1" xfId="81" xr:uid="{00000000-0005-0000-0000-0000D4000000}"/>
    <cellStyle name="Header1 2" xfId="82" xr:uid="{00000000-0005-0000-0000-0000D5000000}"/>
    <cellStyle name="Header2" xfId="83" xr:uid="{00000000-0005-0000-0000-0000D6000000}"/>
    <cellStyle name="Header2 2" xfId="84" xr:uid="{00000000-0005-0000-0000-0000D7000000}"/>
    <cellStyle name="Heading 1 2" xfId="193" xr:uid="{00000000-0005-0000-0000-0000D8000000}"/>
    <cellStyle name="Heading 1 3" xfId="194" xr:uid="{00000000-0005-0000-0000-0000D9000000}"/>
    <cellStyle name="Heading 1 3 2" xfId="195" xr:uid="{00000000-0005-0000-0000-0000DA000000}"/>
    <cellStyle name="Heading 1 3 3" xfId="1053" xr:uid="{00000000-0005-0000-0000-0000DB000000}"/>
    <cellStyle name="Heading 1 4" xfId="196" xr:uid="{00000000-0005-0000-0000-0000DC000000}"/>
    <cellStyle name="Heading 1 4 2" xfId="197" xr:uid="{00000000-0005-0000-0000-0000DD000000}"/>
    <cellStyle name="Heading 1 4 3" xfId="1054" xr:uid="{00000000-0005-0000-0000-0000DE000000}"/>
    <cellStyle name="Heading 1 5" xfId="198" xr:uid="{00000000-0005-0000-0000-0000DF000000}"/>
    <cellStyle name="Heading 1 5 2" xfId="199" xr:uid="{00000000-0005-0000-0000-0000E0000000}"/>
    <cellStyle name="Heading 1 5 3" xfId="1055" xr:uid="{00000000-0005-0000-0000-0000E1000000}"/>
    <cellStyle name="Heading 1 6" xfId="85" xr:uid="{00000000-0005-0000-0000-0000E2000000}"/>
    <cellStyle name="Heading 2 10" xfId="200" xr:uid="{00000000-0005-0000-0000-0000E3000000}"/>
    <cellStyle name="Heading 2 10 2" xfId="201" xr:uid="{00000000-0005-0000-0000-0000E4000000}"/>
    <cellStyle name="Heading 2 10 3" xfId="1056" xr:uid="{00000000-0005-0000-0000-0000E5000000}"/>
    <cellStyle name="Heading 2 11" xfId="202" xr:uid="{00000000-0005-0000-0000-0000E6000000}"/>
    <cellStyle name="Heading 2 11 2" xfId="203" xr:uid="{00000000-0005-0000-0000-0000E7000000}"/>
    <cellStyle name="Heading 2 11 3" xfId="1057" xr:uid="{00000000-0005-0000-0000-0000E8000000}"/>
    <cellStyle name="Heading 2 12" xfId="86" xr:uid="{00000000-0005-0000-0000-0000E9000000}"/>
    <cellStyle name="Heading 2 2" xfId="87" xr:uid="{00000000-0005-0000-0000-0000EA000000}"/>
    <cellStyle name="Heading 2 3" xfId="88" xr:uid="{00000000-0005-0000-0000-0000EB000000}"/>
    <cellStyle name="Heading 2 4" xfId="89" xr:uid="{00000000-0005-0000-0000-0000EC000000}"/>
    <cellStyle name="Heading 2 5" xfId="204" xr:uid="{00000000-0005-0000-0000-0000ED000000}"/>
    <cellStyle name="Heading 2 6" xfId="205" xr:uid="{00000000-0005-0000-0000-0000EE000000}"/>
    <cellStyle name="Heading 2 7" xfId="206" xr:uid="{00000000-0005-0000-0000-0000EF000000}"/>
    <cellStyle name="Heading 2 8" xfId="207" xr:uid="{00000000-0005-0000-0000-0000F0000000}"/>
    <cellStyle name="Heading 2 9" xfId="208" xr:uid="{00000000-0005-0000-0000-0000F1000000}"/>
    <cellStyle name="Heading 2 9 2" xfId="209" xr:uid="{00000000-0005-0000-0000-0000F2000000}"/>
    <cellStyle name="Heading 2 9 3" xfId="1058" xr:uid="{00000000-0005-0000-0000-0000F3000000}"/>
    <cellStyle name="Heading1" xfId="1059" xr:uid="{00000000-0005-0000-0000-0000F4000000}"/>
    <cellStyle name="Heading2" xfId="1060" xr:uid="{00000000-0005-0000-0000-0000F5000000}"/>
    <cellStyle name="HIGHLIGHT" xfId="1061" xr:uid="{00000000-0005-0000-0000-0000F6000000}"/>
    <cellStyle name="Input [yellow]" xfId="90" xr:uid="{00000000-0005-0000-0000-0000F7000000}"/>
    <cellStyle name="Input [yellow] 2" xfId="91" xr:uid="{00000000-0005-0000-0000-0000F8000000}"/>
    <cellStyle name="Input [yellow] 3" xfId="92" xr:uid="{00000000-0005-0000-0000-0000F9000000}"/>
    <cellStyle name="Input [yellow] 4" xfId="93" xr:uid="{00000000-0005-0000-0000-0000FA000000}"/>
    <cellStyle name="Input [yellow] 5" xfId="210" xr:uid="{00000000-0005-0000-0000-0000FB000000}"/>
    <cellStyle name="Input [yellow] 6" xfId="211" xr:uid="{00000000-0005-0000-0000-0000FC000000}"/>
    <cellStyle name="Input [yellow] 7" xfId="212" xr:uid="{00000000-0005-0000-0000-0000FD000000}"/>
    <cellStyle name="Input [yellow] 8" xfId="213" xr:uid="{00000000-0005-0000-0000-0000FE000000}"/>
    <cellStyle name="Milliers [0]_CREATIVE" xfId="1062" xr:uid="{00000000-0005-0000-0000-0000FF000000}"/>
    <cellStyle name="Milliers_CREATIVE" xfId="1063" xr:uid="{00000000-0005-0000-0000-000000010000}"/>
    <cellStyle name="Monétaire [0]_CREATIVE" xfId="1064" xr:uid="{00000000-0005-0000-0000-000001010000}"/>
    <cellStyle name="Monétaire_CREATIVE" xfId="1065" xr:uid="{00000000-0005-0000-0000-000002010000}"/>
    <cellStyle name="ncform" xfId="94" xr:uid="{00000000-0005-0000-0000-000003010000}"/>
    <cellStyle name="no dec" xfId="1066" xr:uid="{00000000-0005-0000-0000-000004010000}"/>
    <cellStyle name="Normal" xfId="0" builtinId="0"/>
    <cellStyle name="Normal - Style1" xfId="95" xr:uid="{00000000-0005-0000-0000-000006010000}"/>
    <cellStyle name="Normal - Style1 2" xfId="96" xr:uid="{00000000-0005-0000-0000-000007010000}"/>
    <cellStyle name="Normal - Style1 2 2" xfId="1067" xr:uid="{00000000-0005-0000-0000-000008010000}"/>
    <cellStyle name="Normal - Style1 3" xfId="97" xr:uid="{00000000-0005-0000-0000-000009010000}"/>
    <cellStyle name="Normal - Style1 3 2" xfId="1068" xr:uid="{00000000-0005-0000-0000-00000A010000}"/>
    <cellStyle name="Normal - Style1 4" xfId="98" xr:uid="{00000000-0005-0000-0000-00000B010000}"/>
    <cellStyle name="Normal - Style1 4 2" xfId="1069" xr:uid="{00000000-0005-0000-0000-00000C010000}"/>
    <cellStyle name="Normal - Style1 5" xfId="214" xr:uid="{00000000-0005-0000-0000-00000D010000}"/>
    <cellStyle name="Normal - Style1 5 2" xfId="1070" xr:uid="{00000000-0005-0000-0000-00000E010000}"/>
    <cellStyle name="Normal - Style1 6" xfId="215" xr:uid="{00000000-0005-0000-0000-00000F010000}"/>
    <cellStyle name="Normal - Style1 6 2" xfId="1071" xr:uid="{00000000-0005-0000-0000-000010010000}"/>
    <cellStyle name="Normal - Style1 7" xfId="216" xr:uid="{00000000-0005-0000-0000-000011010000}"/>
    <cellStyle name="Normal - Style1 7 2" xfId="1072" xr:uid="{00000000-0005-0000-0000-000012010000}"/>
    <cellStyle name="Normal - Style1 8" xfId="217" xr:uid="{00000000-0005-0000-0000-000013010000}"/>
    <cellStyle name="Normal - Style1 8 2" xfId="1073" xr:uid="{00000000-0005-0000-0000-000014010000}"/>
    <cellStyle name="Normal 10" xfId="99" xr:uid="{00000000-0005-0000-0000-000015010000}"/>
    <cellStyle name="Normal 10 10" xfId="218" xr:uid="{00000000-0005-0000-0000-000016010000}"/>
    <cellStyle name="Normal 10 10 2" xfId="1074" xr:uid="{00000000-0005-0000-0000-000017010000}"/>
    <cellStyle name="Normal 10 11" xfId="219" xr:uid="{00000000-0005-0000-0000-000018010000}"/>
    <cellStyle name="Normal 10 11 2" xfId="1075" xr:uid="{00000000-0005-0000-0000-000019010000}"/>
    <cellStyle name="Normal 10 12" xfId="220" xr:uid="{00000000-0005-0000-0000-00001A010000}"/>
    <cellStyle name="Normal 10 12 2" xfId="1076" xr:uid="{00000000-0005-0000-0000-00001B010000}"/>
    <cellStyle name="Normal 10 13" xfId="221" xr:uid="{00000000-0005-0000-0000-00001C010000}"/>
    <cellStyle name="Normal 10 13 2" xfId="1077" xr:uid="{00000000-0005-0000-0000-00001D010000}"/>
    <cellStyle name="Normal 10 14" xfId="222" xr:uid="{00000000-0005-0000-0000-00001E010000}"/>
    <cellStyle name="Normal 10 14 2" xfId="1078" xr:uid="{00000000-0005-0000-0000-00001F010000}"/>
    <cellStyle name="Normal 10 15" xfId="223" xr:uid="{00000000-0005-0000-0000-000020010000}"/>
    <cellStyle name="Normal 10 15 2" xfId="1079" xr:uid="{00000000-0005-0000-0000-000021010000}"/>
    <cellStyle name="Normal 10 16" xfId="224" xr:uid="{00000000-0005-0000-0000-000022010000}"/>
    <cellStyle name="Normal 10 16 2" xfId="1080" xr:uid="{00000000-0005-0000-0000-000023010000}"/>
    <cellStyle name="Normal 10 17" xfId="225" xr:uid="{00000000-0005-0000-0000-000024010000}"/>
    <cellStyle name="Normal 10 17 2" xfId="1081" xr:uid="{00000000-0005-0000-0000-000025010000}"/>
    <cellStyle name="Normal 10 18" xfId="226" xr:uid="{00000000-0005-0000-0000-000026010000}"/>
    <cellStyle name="Normal 10 18 2" xfId="1082" xr:uid="{00000000-0005-0000-0000-000027010000}"/>
    <cellStyle name="Normal 10 19" xfId="227" xr:uid="{00000000-0005-0000-0000-000028010000}"/>
    <cellStyle name="Normal 10 19 2" xfId="1083" xr:uid="{00000000-0005-0000-0000-000029010000}"/>
    <cellStyle name="Normal 10 2" xfId="228" xr:uid="{00000000-0005-0000-0000-00002A010000}"/>
    <cellStyle name="Normal 10 2 2" xfId="1084" xr:uid="{00000000-0005-0000-0000-00002B010000}"/>
    <cellStyle name="Normal 10 20" xfId="229" xr:uid="{00000000-0005-0000-0000-00002C010000}"/>
    <cellStyle name="Normal 10 20 2" xfId="1085" xr:uid="{00000000-0005-0000-0000-00002D010000}"/>
    <cellStyle name="Normal 10 21" xfId="230" xr:uid="{00000000-0005-0000-0000-00002E010000}"/>
    <cellStyle name="Normal 10 21 2" xfId="1086" xr:uid="{00000000-0005-0000-0000-00002F010000}"/>
    <cellStyle name="Normal 10 22" xfId="231" xr:uid="{00000000-0005-0000-0000-000030010000}"/>
    <cellStyle name="Normal 10 22 2" xfId="1087" xr:uid="{00000000-0005-0000-0000-000031010000}"/>
    <cellStyle name="Normal 10 23" xfId="232" xr:uid="{00000000-0005-0000-0000-000032010000}"/>
    <cellStyle name="Normal 10 23 2" xfId="1088" xr:uid="{00000000-0005-0000-0000-000033010000}"/>
    <cellStyle name="Normal 10 24" xfId="233" xr:uid="{00000000-0005-0000-0000-000034010000}"/>
    <cellStyle name="Normal 10 24 2" xfId="1089" xr:uid="{00000000-0005-0000-0000-000035010000}"/>
    <cellStyle name="Normal 10 25" xfId="234" xr:uid="{00000000-0005-0000-0000-000036010000}"/>
    <cellStyle name="Normal 10 25 2" xfId="1090" xr:uid="{00000000-0005-0000-0000-000037010000}"/>
    <cellStyle name="Normal 10 26" xfId="235" xr:uid="{00000000-0005-0000-0000-000038010000}"/>
    <cellStyle name="Normal 10 26 2" xfId="1091" xr:uid="{00000000-0005-0000-0000-000039010000}"/>
    <cellStyle name="Normal 10 27" xfId="236" xr:uid="{00000000-0005-0000-0000-00003A010000}"/>
    <cellStyle name="Normal 10 27 2" xfId="1092" xr:uid="{00000000-0005-0000-0000-00003B010000}"/>
    <cellStyle name="Normal 10 28" xfId="237" xr:uid="{00000000-0005-0000-0000-00003C010000}"/>
    <cellStyle name="Normal 10 28 2" xfId="1093" xr:uid="{00000000-0005-0000-0000-00003D010000}"/>
    <cellStyle name="Normal 10 29" xfId="238" xr:uid="{00000000-0005-0000-0000-00003E010000}"/>
    <cellStyle name="Normal 10 29 2" xfId="1094" xr:uid="{00000000-0005-0000-0000-00003F010000}"/>
    <cellStyle name="Normal 10 3" xfId="239" xr:uid="{00000000-0005-0000-0000-000040010000}"/>
    <cellStyle name="Normal 10 3 2" xfId="1095" xr:uid="{00000000-0005-0000-0000-000041010000}"/>
    <cellStyle name="Normal 10 30" xfId="240" xr:uid="{00000000-0005-0000-0000-000042010000}"/>
    <cellStyle name="Normal 10 30 2" xfId="1096" xr:uid="{00000000-0005-0000-0000-000043010000}"/>
    <cellStyle name="Normal 10 31" xfId="241" xr:uid="{00000000-0005-0000-0000-000044010000}"/>
    <cellStyle name="Normal 10 31 2" xfId="1097" xr:uid="{00000000-0005-0000-0000-000045010000}"/>
    <cellStyle name="Normal 10 32" xfId="242" xr:uid="{00000000-0005-0000-0000-000046010000}"/>
    <cellStyle name="Normal 10 32 2" xfId="1098" xr:uid="{00000000-0005-0000-0000-000047010000}"/>
    <cellStyle name="Normal 10 33" xfId="243" xr:uid="{00000000-0005-0000-0000-000048010000}"/>
    <cellStyle name="Normal 10 33 2" xfId="1099" xr:uid="{00000000-0005-0000-0000-000049010000}"/>
    <cellStyle name="Normal 10 34" xfId="244" xr:uid="{00000000-0005-0000-0000-00004A010000}"/>
    <cellStyle name="Normal 10 34 2" xfId="1100" xr:uid="{00000000-0005-0000-0000-00004B010000}"/>
    <cellStyle name="Normal 10 35" xfId="245" xr:uid="{00000000-0005-0000-0000-00004C010000}"/>
    <cellStyle name="Normal 10 35 2" xfId="942" xr:uid="{00000000-0005-0000-0000-00004D010000}"/>
    <cellStyle name="Normal 10 35 2 2" xfId="1752" xr:uid="{00000000-0005-0000-0000-00004E010000}"/>
    <cellStyle name="Normal 10 35 2 2 2" xfId="2021" xr:uid="{00000000-0005-0000-0000-00004F010000}"/>
    <cellStyle name="Normal 10 35 2 3" xfId="1952" xr:uid="{00000000-0005-0000-0000-000050010000}"/>
    <cellStyle name="Normal 10 35 3" xfId="157" xr:uid="{00000000-0005-0000-0000-000051010000}"/>
    <cellStyle name="Normal 10 35 3 2" xfId="1742" xr:uid="{00000000-0005-0000-0000-000052010000}"/>
    <cellStyle name="Normal 10 35 3 2 2" xfId="2011" xr:uid="{00000000-0005-0000-0000-000053010000}"/>
    <cellStyle name="Normal 10 35 3 3" xfId="1834" xr:uid="{00000000-0005-0000-0000-000054010000}"/>
    <cellStyle name="Normal 10 35 4" xfId="941" xr:uid="{00000000-0005-0000-0000-000055010000}"/>
    <cellStyle name="Normal 10 35 4 2" xfId="1751" xr:uid="{00000000-0005-0000-0000-000056010000}"/>
    <cellStyle name="Normal 10 35 4 2 2" xfId="2020" xr:uid="{00000000-0005-0000-0000-000057010000}"/>
    <cellStyle name="Normal 10 35 4 3" xfId="1951" xr:uid="{00000000-0005-0000-0000-000058010000}"/>
    <cellStyle name="Normal 10 35 5" xfId="1743" xr:uid="{00000000-0005-0000-0000-000059010000}"/>
    <cellStyle name="Normal 10 35 5 2" xfId="2012" xr:uid="{00000000-0005-0000-0000-00005A010000}"/>
    <cellStyle name="Normal 10 35 6" xfId="1837" xr:uid="{00000000-0005-0000-0000-00005B010000}"/>
    <cellStyle name="Normal 10 36" xfId="246" xr:uid="{00000000-0005-0000-0000-00005C010000}"/>
    <cellStyle name="Normal 10 36 2" xfId="943" xr:uid="{00000000-0005-0000-0000-00005D010000}"/>
    <cellStyle name="Normal 10 36 2 2" xfId="1753" xr:uid="{00000000-0005-0000-0000-00005E010000}"/>
    <cellStyle name="Normal 10 36 2 2 2" xfId="2022" xr:uid="{00000000-0005-0000-0000-00005F010000}"/>
    <cellStyle name="Normal 10 36 2 3" xfId="1953" xr:uid="{00000000-0005-0000-0000-000060010000}"/>
    <cellStyle name="Normal 10 36 3" xfId="1744" xr:uid="{00000000-0005-0000-0000-000061010000}"/>
    <cellStyle name="Normal 10 36 3 2" xfId="2013" xr:uid="{00000000-0005-0000-0000-000062010000}"/>
    <cellStyle name="Normal 10 36 4" xfId="1838" xr:uid="{00000000-0005-0000-0000-000063010000}"/>
    <cellStyle name="Normal 10 37" xfId="1101" xr:uid="{00000000-0005-0000-0000-000064010000}"/>
    <cellStyle name="Normal 10 38" xfId="1102" xr:uid="{00000000-0005-0000-0000-000065010000}"/>
    <cellStyle name="Normal 10 4" xfId="247" xr:uid="{00000000-0005-0000-0000-000066010000}"/>
    <cellStyle name="Normal 10 4 2" xfId="1103" xr:uid="{00000000-0005-0000-0000-000067010000}"/>
    <cellStyle name="Normal 10 5" xfId="248" xr:uid="{00000000-0005-0000-0000-000068010000}"/>
    <cellStyle name="Normal 10 5 2" xfId="1104" xr:uid="{00000000-0005-0000-0000-000069010000}"/>
    <cellStyle name="Normal 10 6" xfId="249" xr:uid="{00000000-0005-0000-0000-00006A010000}"/>
    <cellStyle name="Normal 10 6 2" xfId="1105" xr:uid="{00000000-0005-0000-0000-00006B010000}"/>
    <cellStyle name="Normal 10 7" xfId="250" xr:uid="{00000000-0005-0000-0000-00006C010000}"/>
    <cellStyle name="Normal 10 7 2" xfId="1106" xr:uid="{00000000-0005-0000-0000-00006D010000}"/>
    <cellStyle name="Normal 10 8" xfId="251" xr:uid="{00000000-0005-0000-0000-00006E010000}"/>
    <cellStyle name="Normal 10 8 2" xfId="1107" xr:uid="{00000000-0005-0000-0000-00006F010000}"/>
    <cellStyle name="Normal 10 9" xfId="252" xr:uid="{00000000-0005-0000-0000-000070010000}"/>
    <cellStyle name="Normal 10 9 2" xfId="1108" xr:uid="{00000000-0005-0000-0000-000071010000}"/>
    <cellStyle name="Normal 11" xfId="100" xr:uid="{00000000-0005-0000-0000-000072010000}"/>
    <cellStyle name="Normal 11 10" xfId="253" xr:uid="{00000000-0005-0000-0000-000073010000}"/>
    <cellStyle name="Normal 11 10 2" xfId="1109" xr:uid="{00000000-0005-0000-0000-000074010000}"/>
    <cellStyle name="Normal 11 11" xfId="254" xr:uid="{00000000-0005-0000-0000-000075010000}"/>
    <cellStyle name="Normal 11 11 2" xfId="1110" xr:uid="{00000000-0005-0000-0000-000076010000}"/>
    <cellStyle name="Normal 11 12" xfId="255" xr:uid="{00000000-0005-0000-0000-000077010000}"/>
    <cellStyle name="Normal 11 12 2" xfId="1111" xr:uid="{00000000-0005-0000-0000-000078010000}"/>
    <cellStyle name="Normal 11 13" xfId="256" xr:uid="{00000000-0005-0000-0000-000079010000}"/>
    <cellStyle name="Normal 11 13 2" xfId="1112" xr:uid="{00000000-0005-0000-0000-00007A010000}"/>
    <cellStyle name="Normal 11 14" xfId="257" xr:uid="{00000000-0005-0000-0000-00007B010000}"/>
    <cellStyle name="Normal 11 14 2" xfId="1113" xr:uid="{00000000-0005-0000-0000-00007C010000}"/>
    <cellStyle name="Normal 11 15" xfId="258" xr:uid="{00000000-0005-0000-0000-00007D010000}"/>
    <cellStyle name="Normal 11 15 2" xfId="1114" xr:uid="{00000000-0005-0000-0000-00007E010000}"/>
    <cellStyle name="Normal 11 16" xfId="259" xr:uid="{00000000-0005-0000-0000-00007F010000}"/>
    <cellStyle name="Normal 11 16 2" xfId="1115" xr:uid="{00000000-0005-0000-0000-000080010000}"/>
    <cellStyle name="Normal 11 17" xfId="260" xr:uid="{00000000-0005-0000-0000-000081010000}"/>
    <cellStyle name="Normal 11 17 2" xfId="1116" xr:uid="{00000000-0005-0000-0000-000082010000}"/>
    <cellStyle name="Normal 11 18" xfId="261" xr:uid="{00000000-0005-0000-0000-000083010000}"/>
    <cellStyle name="Normal 11 18 2" xfId="1117" xr:uid="{00000000-0005-0000-0000-000084010000}"/>
    <cellStyle name="Normal 11 19" xfId="262" xr:uid="{00000000-0005-0000-0000-000085010000}"/>
    <cellStyle name="Normal 11 19 2" xfId="1118" xr:uid="{00000000-0005-0000-0000-000086010000}"/>
    <cellStyle name="Normal 11 2" xfId="263" xr:uid="{00000000-0005-0000-0000-000087010000}"/>
    <cellStyle name="Normal 11 2 2" xfId="1119" xr:uid="{00000000-0005-0000-0000-000088010000}"/>
    <cellStyle name="Normal 11 20" xfId="264" xr:uid="{00000000-0005-0000-0000-000089010000}"/>
    <cellStyle name="Normal 11 20 2" xfId="1120" xr:uid="{00000000-0005-0000-0000-00008A010000}"/>
    <cellStyle name="Normal 11 21" xfId="265" xr:uid="{00000000-0005-0000-0000-00008B010000}"/>
    <cellStyle name="Normal 11 21 2" xfId="1121" xr:uid="{00000000-0005-0000-0000-00008C010000}"/>
    <cellStyle name="Normal 11 22" xfId="266" xr:uid="{00000000-0005-0000-0000-00008D010000}"/>
    <cellStyle name="Normal 11 22 2" xfId="1122" xr:uid="{00000000-0005-0000-0000-00008E010000}"/>
    <cellStyle name="Normal 11 23" xfId="267" xr:uid="{00000000-0005-0000-0000-00008F010000}"/>
    <cellStyle name="Normal 11 23 2" xfId="1123" xr:uid="{00000000-0005-0000-0000-000090010000}"/>
    <cellStyle name="Normal 11 24" xfId="268" xr:uid="{00000000-0005-0000-0000-000091010000}"/>
    <cellStyle name="Normal 11 24 2" xfId="1124" xr:uid="{00000000-0005-0000-0000-000092010000}"/>
    <cellStyle name="Normal 11 25" xfId="269" xr:uid="{00000000-0005-0000-0000-000093010000}"/>
    <cellStyle name="Normal 11 25 2" xfId="1125" xr:uid="{00000000-0005-0000-0000-000094010000}"/>
    <cellStyle name="Normal 11 26" xfId="270" xr:uid="{00000000-0005-0000-0000-000095010000}"/>
    <cellStyle name="Normal 11 26 2" xfId="1126" xr:uid="{00000000-0005-0000-0000-000096010000}"/>
    <cellStyle name="Normal 11 27" xfId="271" xr:uid="{00000000-0005-0000-0000-000097010000}"/>
    <cellStyle name="Normal 11 27 2" xfId="1127" xr:uid="{00000000-0005-0000-0000-000098010000}"/>
    <cellStyle name="Normal 11 28" xfId="272" xr:uid="{00000000-0005-0000-0000-000099010000}"/>
    <cellStyle name="Normal 11 28 2" xfId="1128" xr:uid="{00000000-0005-0000-0000-00009A010000}"/>
    <cellStyle name="Normal 11 29" xfId="273" xr:uid="{00000000-0005-0000-0000-00009B010000}"/>
    <cellStyle name="Normal 11 29 2" xfId="1129" xr:uid="{00000000-0005-0000-0000-00009C010000}"/>
    <cellStyle name="Normal 11 3" xfId="274" xr:uid="{00000000-0005-0000-0000-00009D010000}"/>
    <cellStyle name="Normal 11 3 2" xfId="1130" xr:uid="{00000000-0005-0000-0000-00009E010000}"/>
    <cellStyle name="Normal 11 30" xfId="275" xr:uid="{00000000-0005-0000-0000-00009F010000}"/>
    <cellStyle name="Normal 11 30 2" xfId="1131" xr:uid="{00000000-0005-0000-0000-0000A0010000}"/>
    <cellStyle name="Normal 11 31" xfId="276" xr:uid="{00000000-0005-0000-0000-0000A1010000}"/>
    <cellStyle name="Normal 11 31 2" xfId="1132" xr:uid="{00000000-0005-0000-0000-0000A2010000}"/>
    <cellStyle name="Normal 11 32" xfId="277" xr:uid="{00000000-0005-0000-0000-0000A3010000}"/>
    <cellStyle name="Normal 11 32 2" xfId="1133" xr:uid="{00000000-0005-0000-0000-0000A4010000}"/>
    <cellStyle name="Normal 11 33" xfId="278" xr:uid="{00000000-0005-0000-0000-0000A5010000}"/>
    <cellStyle name="Normal 11 33 2" xfId="1134" xr:uid="{00000000-0005-0000-0000-0000A6010000}"/>
    <cellStyle name="Normal 11 34" xfId="279" xr:uid="{00000000-0005-0000-0000-0000A7010000}"/>
    <cellStyle name="Normal 11 34 2" xfId="1135" xr:uid="{00000000-0005-0000-0000-0000A8010000}"/>
    <cellStyle name="Normal 11 35" xfId="1136" xr:uid="{00000000-0005-0000-0000-0000A9010000}"/>
    <cellStyle name="Normal 11 36" xfId="1137" xr:uid="{00000000-0005-0000-0000-0000AA010000}"/>
    <cellStyle name="Normal 11 4" xfId="280" xr:uid="{00000000-0005-0000-0000-0000AB010000}"/>
    <cellStyle name="Normal 11 4 2" xfId="1138" xr:uid="{00000000-0005-0000-0000-0000AC010000}"/>
    <cellStyle name="Normal 11 5" xfId="281" xr:uid="{00000000-0005-0000-0000-0000AD010000}"/>
    <cellStyle name="Normal 11 5 2" xfId="1139" xr:uid="{00000000-0005-0000-0000-0000AE010000}"/>
    <cellStyle name="Normal 11 6" xfId="282" xr:uid="{00000000-0005-0000-0000-0000AF010000}"/>
    <cellStyle name="Normal 11 6 2" xfId="1140" xr:uid="{00000000-0005-0000-0000-0000B0010000}"/>
    <cellStyle name="Normal 11 7" xfId="283" xr:uid="{00000000-0005-0000-0000-0000B1010000}"/>
    <cellStyle name="Normal 11 7 2" xfId="1141" xr:uid="{00000000-0005-0000-0000-0000B2010000}"/>
    <cellStyle name="Normal 11 8" xfId="284" xr:uid="{00000000-0005-0000-0000-0000B3010000}"/>
    <cellStyle name="Normal 11 8 2" xfId="1142" xr:uid="{00000000-0005-0000-0000-0000B4010000}"/>
    <cellStyle name="Normal 11 9" xfId="285" xr:uid="{00000000-0005-0000-0000-0000B5010000}"/>
    <cellStyle name="Normal 11 9 2" xfId="1143" xr:uid="{00000000-0005-0000-0000-0000B6010000}"/>
    <cellStyle name="Normal 12" xfId="101" xr:uid="{00000000-0005-0000-0000-0000B7010000}"/>
    <cellStyle name="Normal 12 10" xfId="286" xr:uid="{00000000-0005-0000-0000-0000B8010000}"/>
    <cellStyle name="Normal 12 10 2" xfId="1144" xr:uid="{00000000-0005-0000-0000-0000B9010000}"/>
    <cellStyle name="Normal 12 11" xfId="287" xr:uid="{00000000-0005-0000-0000-0000BA010000}"/>
    <cellStyle name="Normal 12 11 2" xfId="1145" xr:uid="{00000000-0005-0000-0000-0000BB010000}"/>
    <cellStyle name="Normal 12 12" xfId="288" xr:uid="{00000000-0005-0000-0000-0000BC010000}"/>
    <cellStyle name="Normal 12 12 2" xfId="1146" xr:uid="{00000000-0005-0000-0000-0000BD010000}"/>
    <cellStyle name="Normal 12 13" xfId="289" xr:uid="{00000000-0005-0000-0000-0000BE010000}"/>
    <cellStyle name="Normal 12 13 2" xfId="1147" xr:uid="{00000000-0005-0000-0000-0000BF010000}"/>
    <cellStyle name="Normal 12 14" xfId="290" xr:uid="{00000000-0005-0000-0000-0000C0010000}"/>
    <cellStyle name="Normal 12 14 2" xfId="1148" xr:uid="{00000000-0005-0000-0000-0000C1010000}"/>
    <cellStyle name="Normal 12 15" xfId="291" xr:uid="{00000000-0005-0000-0000-0000C2010000}"/>
    <cellStyle name="Normal 12 15 2" xfId="1149" xr:uid="{00000000-0005-0000-0000-0000C3010000}"/>
    <cellStyle name="Normal 12 16" xfId="292" xr:uid="{00000000-0005-0000-0000-0000C4010000}"/>
    <cellStyle name="Normal 12 16 2" xfId="1150" xr:uid="{00000000-0005-0000-0000-0000C5010000}"/>
    <cellStyle name="Normal 12 17" xfId="293" xr:uid="{00000000-0005-0000-0000-0000C6010000}"/>
    <cellStyle name="Normal 12 17 2" xfId="1151" xr:uid="{00000000-0005-0000-0000-0000C7010000}"/>
    <cellStyle name="Normal 12 18" xfId="294" xr:uid="{00000000-0005-0000-0000-0000C8010000}"/>
    <cellStyle name="Normal 12 18 2" xfId="1152" xr:uid="{00000000-0005-0000-0000-0000C9010000}"/>
    <cellStyle name="Normal 12 19" xfId="295" xr:uid="{00000000-0005-0000-0000-0000CA010000}"/>
    <cellStyle name="Normal 12 19 2" xfId="1153" xr:uid="{00000000-0005-0000-0000-0000CB010000}"/>
    <cellStyle name="Normal 12 2" xfId="296" xr:uid="{00000000-0005-0000-0000-0000CC010000}"/>
    <cellStyle name="Normal 12 2 2" xfId="1154" xr:uid="{00000000-0005-0000-0000-0000CD010000}"/>
    <cellStyle name="Normal 12 20" xfId="297" xr:uid="{00000000-0005-0000-0000-0000CE010000}"/>
    <cellStyle name="Normal 12 20 2" xfId="1155" xr:uid="{00000000-0005-0000-0000-0000CF010000}"/>
    <cellStyle name="Normal 12 21" xfId="298" xr:uid="{00000000-0005-0000-0000-0000D0010000}"/>
    <cellStyle name="Normal 12 21 2" xfId="1156" xr:uid="{00000000-0005-0000-0000-0000D1010000}"/>
    <cellStyle name="Normal 12 22" xfId="299" xr:uid="{00000000-0005-0000-0000-0000D2010000}"/>
    <cellStyle name="Normal 12 22 2" xfId="1157" xr:uid="{00000000-0005-0000-0000-0000D3010000}"/>
    <cellStyle name="Normal 12 23" xfId="300" xr:uid="{00000000-0005-0000-0000-0000D4010000}"/>
    <cellStyle name="Normal 12 23 2" xfId="1158" xr:uid="{00000000-0005-0000-0000-0000D5010000}"/>
    <cellStyle name="Normal 12 24" xfId="301" xr:uid="{00000000-0005-0000-0000-0000D6010000}"/>
    <cellStyle name="Normal 12 24 2" xfId="1159" xr:uid="{00000000-0005-0000-0000-0000D7010000}"/>
    <cellStyle name="Normal 12 25" xfId="302" xr:uid="{00000000-0005-0000-0000-0000D8010000}"/>
    <cellStyle name="Normal 12 25 2" xfId="1160" xr:uid="{00000000-0005-0000-0000-0000D9010000}"/>
    <cellStyle name="Normal 12 26" xfId="303" xr:uid="{00000000-0005-0000-0000-0000DA010000}"/>
    <cellStyle name="Normal 12 26 2" xfId="1161" xr:uid="{00000000-0005-0000-0000-0000DB010000}"/>
    <cellStyle name="Normal 12 27" xfId="304" xr:uid="{00000000-0005-0000-0000-0000DC010000}"/>
    <cellStyle name="Normal 12 27 2" xfId="1162" xr:uid="{00000000-0005-0000-0000-0000DD010000}"/>
    <cellStyle name="Normal 12 28" xfId="305" xr:uid="{00000000-0005-0000-0000-0000DE010000}"/>
    <cellStyle name="Normal 12 28 2" xfId="1163" xr:uid="{00000000-0005-0000-0000-0000DF010000}"/>
    <cellStyle name="Normal 12 29" xfId="306" xr:uid="{00000000-0005-0000-0000-0000E0010000}"/>
    <cellStyle name="Normal 12 29 2" xfId="1164" xr:uid="{00000000-0005-0000-0000-0000E1010000}"/>
    <cellStyle name="Normal 12 3" xfId="307" xr:uid="{00000000-0005-0000-0000-0000E2010000}"/>
    <cellStyle name="Normal 12 3 2" xfId="1165" xr:uid="{00000000-0005-0000-0000-0000E3010000}"/>
    <cellStyle name="Normal 12 30" xfId="308" xr:uid="{00000000-0005-0000-0000-0000E4010000}"/>
    <cellStyle name="Normal 12 30 2" xfId="1166" xr:uid="{00000000-0005-0000-0000-0000E5010000}"/>
    <cellStyle name="Normal 12 31" xfId="309" xr:uid="{00000000-0005-0000-0000-0000E6010000}"/>
    <cellStyle name="Normal 12 31 2" xfId="1167" xr:uid="{00000000-0005-0000-0000-0000E7010000}"/>
    <cellStyle name="Normal 12 32" xfId="310" xr:uid="{00000000-0005-0000-0000-0000E8010000}"/>
    <cellStyle name="Normal 12 32 2" xfId="1168" xr:uid="{00000000-0005-0000-0000-0000E9010000}"/>
    <cellStyle name="Normal 12 33" xfId="311" xr:uid="{00000000-0005-0000-0000-0000EA010000}"/>
    <cellStyle name="Normal 12 33 2" xfId="1169" xr:uid="{00000000-0005-0000-0000-0000EB010000}"/>
    <cellStyle name="Normal 12 34" xfId="312" xr:uid="{00000000-0005-0000-0000-0000EC010000}"/>
    <cellStyle name="Normal 12 34 2" xfId="1170" xr:uid="{00000000-0005-0000-0000-0000ED010000}"/>
    <cellStyle name="Normal 12 35" xfId="1171" xr:uid="{00000000-0005-0000-0000-0000EE010000}"/>
    <cellStyle name="Normal 12 4" xfId="313" xr:uid="{00000000-0005-0000-0000-0000EF010000}"/>
    <cellStyle name="Normal 12 4 2" xfId="1172" xr:uid="{00000000-0005-0000-0000-0000F0010000}"/>
    <cellStyle name="Normal 12 5" xfId="314" xr:uid="{00000000-0005-0000-0000-0000F1010000}"/>
    <cellStyle name="Normal 12 5 2" xfId="1173" xr:uid="{00000000-0005-0000-0000-0000F2010000}"/>
    <cellStyle name="Normal 12 6" xfId="315" xr:uid="{00000000-0005-0000-0000-0000F3010000}"/>
    <cellStyle name="Normal 12 6 2" xfId="1174" xr:uid="{00000000-0005-0000-0000-0000F4010000}"/>
    <cellStyle name="Normal 12 7" xfId="316" xr:uid="{00000000-0005-0000-0000-0000F5010000}"/>
    <cellStyle name="Normal 12 7 2" xfId="1175" xr:uid="{00000000-0005-0000-0000-0000F6010000}"/>
    <cellStyle name="Normal 12 8" xfId="317" xr:uid="{00000000-0005-0000-0000-0000F7010000}"/>
    <cellStyle name="Normal 12 8 2" xfId="1176" xr:uid="{00000000-0005-0000-0000-0000F8010000}"/>
    <cellStyle name="Normal 12 9" xfId="318" xr:uid="{00000000-0005-0000-0000-0000F9010000}"/>
    <cellStyle name="Normal 12 9 2" xfId="1177" xr:uid="{00000000-0005-0000-0000-0000FA010000}"/>
    <cellStyle name="Normal 13" xfId="319" xr:uid="{00000000-0005-0000-0000-0000FB010000}"/>
    <cellStyle name="Normal 13 2" xfId="320" xr:uid="{00000000-0005-0000-0000-0000FC010000}"/>
    <cellStyle name="Normal 13 2 2" xfId="1178" xr:uid="{00000000-0005-0000-0000-0000FD010000}"/>
    <cellStyle name="Normal 13 3" xfId="1179" xr:uid="{00000000-0005-0000-0000-0000FE010000}"/>
    <cellStyle name="Normal 14" xfId="321" xr:uid="{00000000-0005-0000-0000-0000FF010000}"/>
    <cellStyle name="Normal 14 10" xfId="322" xr:uid="{00000000-0005-0000-0000-000000020000}"/>
    <cellStyle name="Normal 14 10 2" xfId="1180" xr:uid="{00000000-0005-0000-0000-000001020000}"/>
    <cellStyle name="Normal 14 11" xfId="323" xr:uid="{00000000-0005-0000-0000-000002020000}"/>
    <cellStyle name="Normal 14 11 2" xfId="1181" xr:uid="{00000000-0005-0000-0000-000003020000}"/>
    <cellStyle name="Normal 14 12" xfId="324" xr:uid="{00000000-0005-0000-0000-000004020000}"/>
    <cellStyle name="Normal 14 12 2" xfId="1182" xr:uid="{00000000-0005-0000-0000-000005020000}"/>
    <cellStyle name="Normal 14 13" xfId="325" xr:uid="{00000000-0005-0000-0000-000006020000}"/>
    <cellStyle name="Normal 14 13 2" xfId="1183" xr:uid="{00000000-0005-0000-0000-000007020000}"/>
    <cellStyle name="Normal 14 14" xfId="326" xr:uid="{00000000-0005-0000-0000-000008020000}"/>
    <cellStyle name="Normal 14 14 2" xfId="1184" xr:uid="{00000000-0005-0000-0000-000009020000}"/>
    <cellStyle name="Normal 14 15" xfId="327" xr:uid="{00000000-0005-0000-0000-00000A020000}"/>
    <cellStyle name="Normal 14 15 2" xfId="1185" xr:uid="{00000000-0005-0000-0000-00000B020000}"/>
    <cellStyle name="Normal 14 16" xfId="328" xr:uid="{00000000-0005-0000-0000-00000C020000}"/>
    <cellStyle name="Normal 14 16 2" xfId="1186" xr:uid="{00000000-0005-0000-0000-00000D020000}"/>
    <cellStyle name="Normal 14 17" xfId="329" xr:uid="{00000000-0005-0000-0000-00000E020000}"/>
    <cellStyle name="Normal 14 17 2" xfId="1187" xr:uid="{00000000-0005-0000-0000-00000F020000}"/>
    <cellStyle name="Normal 14 18" xfId="330" xr:uid="{00000000-0005-0000-0000-000010020000}"/>
    <cellStyle name="Normal 14 18 2" xfId="1188" xr:uid="{00000000-0005-0000-0000-000011020000}"/>
    <cellStyle name="Normal 14 19" xfId="331" xr:uid="{00000000-0005-0000-0000-000012020000}"/>
    <cellStyle name="Normal 14 19 2" xfId="1189" xr:uid="{00000000-0005-0000-0000-000013020000}"/>
    <cellStyle name="Normal 14 2" xfId="332" xr:uid="{00000000-0005-0000-0000-000014020000}"/>
    <cellStyle name="Normal 14 2 2" xfId="1190" xr:uid="{00000000-0005-0000-0000-000015020000}"/>
    <cellStyle name="Normal 14 20" xfId="333" xr:uid="{00000000-0005-0000-0000-000016020000}"/>
    <cellStyle name="Normal 14 20 2" xfId="1191" xr:uid="{00000000-0005-0000-0000-000017020000}"/>
    <cellStyle name="Normal 14 21" xfId="334" xr:uid="{00000000-0005-0000-0000-000018020000}"/>
    <cellStyle name="Normal 14 21 2" xfId="1192" xr:uid="{00000000-0005-0000-0000-000019020000}"/>
    <cellStyle name="Normal 14 22" xfId="335" xr:uid="{00000000-0005-0000-0000-00001A020000}"/>
    <cellStyle name="Normal 14 22 2" xfId="1193" xr:uid="{00000000-0005-0000-0000-00001B020000}"/>
    <cellStyle name="Normal 14 23" xfId="336" xr:uid="{00000000-0005-0000-0000-00001C020000}"/>
    <cellStyle name="Normal 14 23 2" xfId="1194" xr:uid="{00000000-0005-0000-0000-00001D020000}"/>
    <cellStyle name="Normal 14 24" xfId="337" xr:uid="{00000000-0005-0000-0000-00001E020000}"/>
    <cellStyle name="Normal 14 24 2" xfId="1195" xr:uid="{00000000-0005-0000-0000-00001F020000}"/>
    <cellStyle name="Normal 14 25" xfId="338" xr:uid="{00000000-0005-0000-0000-000020020000}"/>
    <cellStyle name="Normal 14 25 2" xfId="1196" xr:uid="{00000000-0005-0000-0000-000021020000}"/>
    <cellStyle name="Normal 14 26" xfId="339" xr:uid="{00000000-0005-0000-0000-000022020000}"/>
    <cellStyle name="Normal 14 26 2" xfId="1197" xr:uid="{00000000-0005-0000-0000-000023020000}"/>
    <cellStyle name="Normal 14 27" xfId="340" xr:uid="{00000000-0005-0000-0000-000024020000}"/>
    <cellStyle name="Normal 14 27 2" xfId="1198" xr:uid="{00000000-0005-0000-0000-000025020000}"/>
    <cellStyle name="Normal 14 28" xfId="341" xr:uid="{00000000-0005-0000-0000-000026020000}"/>
    <cellStyle name="Normal 14 28 2" xfId="1199" xr:uid="{00000000-0005-0000-0000-000027020000}"/>
    <cellStyle name="Normal 14 29" xfId="342" xr:uid="{00000000-0005-0000-0000-000028020000}"/>
    <cellStyle name="Normal 14 29 2" xfId="1200" xr:uid="{00000000-0005-0000-0000-000029020000}"/>
    <cellStyle name="Normal 14 3" xfId="343" xr:uid="{00000000-0005-0000-0000-00002A020000}"/>
    <cellStyle name="Normal 14 3 2" xfId="1201" xr:uid="{00000000-0005-0000-0000-00002B020000}"/>
    <cellStyle name="Normal 14 30" xfId="344" xr:uid="{00000000-0005-0000-0000-00002C020000}"/>
    <cellStyle name="Normal 14 30 2" xfId="1202" xr:uid="{00000000-0005-0000-0000-00002D020000}"/>
    <cellStyle name="Normal 14 31" xfId="345" xr:uid="{00000000-0005-0000-0000-00002E020000}"/>
    <cellStyle name="Normal 14 31 2" xfId="1203" xr:uid="{00000000-0005-0000-0000-00002F020000}"/>
    <cellStyle name="Normal 14 32" xfId="346" xr:uid="{00000000-0005-0000-0000-000030020000}"/>
    <cellStyle name="Normal 14 32 2" xfId="1204" xr:uid="{00000000-0005-0000-0000-000031020000}"/>
    <cellStyle name="Normal 14 33" xfId="347" xr:uid="{00000000-0005-0000-0000-000032020000}"/>
    <cellStyle name="Normal 14 33 2" xfId="1205" xr:uid="{00000000-0005-0000-0000-000033020000}"/>
    <cellStyle name="Normal 14 34" xfId="348" xr:uid="{00000000-0005-0000-0000-000034020000}"/>
    <cellStyle name="Normal 14 34 2" xfId="1206" xr:uid="{00000000-0005-0000-0000-000035020000}"/>
    <cellStyle name="Normal 14 4" xfId="349" xr:uid="{00000000-0005-0000-0000-000036020000}"/>
    <cellStyle name="Normal 14 4 2" xfId="1207" xr:uid="{00000000-0005-0000-0000-000037020000}"/>
    <cellStyle name="Normal 14 5" xfId="350" xr:uid="{00000000-0005-0000-0000-000038020000}"/>
    <cellStyle name="Normal 14 5 2" xfId="1208" xr:uid="{00000000-0005-0000-0000-000039020000}"/>
    <cellStyle name="Normal 14 6" xfId="351" xr:uid="{00000000-0005-0000-0000-00003A020000}"/>
    <cellStyle name="Normal 14 6 2" xfId="1209" xr:uid="{00000000-0005-0000-0000-00003B020000}"/>
    <cellStyle name="Normal 14 7" xfId="352" xr:uid="{00000000-0005-0000-0000-00003C020000}"/>
    <cellStyle name="Normal 14 7 2" xfId="1210" xr:uid="{00000000-0005-0000-0000-00003D020000}"/>
    <cellStyle name="Normal 14 8" xfId="353" xr:uid="{00000000-0005-0000-0000-00003E020000}"/>
    <cellStyle name="Normal 14 8 2" xfId="1211" xr:uid="{00000000-0005-0000-0000-00003F020000}"/>
    <cellStyle name="Normal 14 9" xfId="354" xr:uid="{00000000-0005-0000-0000-000040020000}"/>
    <cellStyle name="Normal 14 9 2" xfId="1212" xr:uid="{00000000-0005-0000-0000-000041020000}"/>
    <cellStyle name="Normal 15" xfId="102" xr:uid="{00000000-0005-0000-0000-000042020000}"/>
    <cellStyle name="Normal 15 2" xfId="1213" xr:uid="{00000000-0005-0000-0000-000043020000}"/>
    <cellStyle name="Normal 16" xfId="355" xr:uid="{00000000-0005-0000-0000-000044020000}"/>
    <cellStyle name="Normal 16 10" xfId="356" xr:uid="{00000000-0005-0000-0000-000045020000}"/>
    <cellStyle name="Normal 16 10 2" xfId="1214" xr:uid="{00000000-0005-0000-0000-000046020000}"/>
    <cellStyle name="Normal 16 11" xfId="357" xr:uid="{00000000-0005-0000-0000-000047020000}"/>
    <cellStyle name="Normal 16 11 2" xfId="1215" xr:uid="{00000000-0005-0000-0000-000048020000}"/>
    <cellStyle name="Normal 16 12" xfId="358" xr:uid="{00000000-0005-0000-0000-000049020000}"/>
    <cellStyle name="Normal 16 12 2" xfId="1216" xr:uid="{00000000-0005-0000-0000-00004A020000}"/>
    <cellStyle name="Normal 16 13" xfId="359" xr:uid="{00000000-0005-0000-0000-00004B020000}"/>
    <cellStyle name="Normal 16 13 2" xfId="1217" xr:uid="{00000000-0005-0000-0000-00004C020000}"/>
    <cellStyle name="Normal 16 14" xfId="360" xr:uid="{00000000-0005-0000-0000-00004D020000}"/>
    <cellStyle name="Normal 16 14 2" xfId="1218" xr:uid="{00000000-0005-0000-0000-00004E020000}"/>
    <cellStyle name="Normal 16 15" xfId="361" xr:uid="{00000000-0005-0000-0000-00004F020000}"/>
    <cellStyle name="Normal 16 15 2" xfId="1219" xr:uid="{00000000-0005-0000-0000-000050020000}"/>
    <cellStyle name="Normal 16 16" xfId="362" xr:uid="{00000000-0005-0000-0000-000051020000}"/>
    <cellStyle name="Normal 16 16 2" xfId="1220" xr:uid="{00000000-0005-0000-0000-000052020000}"/>
    <cellStyle name="Normal 16 17" xfId="363" xr:uid="{00000000-0005-0000-0000-000053020000}"/>
    <cellStyle name="Normal 16 17 2" xfId="1221" xr:uid="{00000000-0005-0000-0000-000054020000}"/>
    <cellStyle name="Normal 16 18" xfId="364" xr:uid="{00000000-0005-0000-0000-000055020000}"/>
    <cellStyle name="Normal 16 18 2" xfId="1222" xr:uid="{00000000-0005-0000-0000-000056020000}"/>
    <cellStyle name="Normal 16 19" xfId="365" xr:uid="{00000000-0005-0000-0000-000057020000}"/>
    <cellStyle name="Normal 16 19 2" xfId="1223" xr:uid="{00000000-0005-0000-0000-000058020000}"/>
    <cellStyle name="Normal 16 2" xfId="366" xr:uid="{00000000-0005-0000-0000-000059020000}"/>
    <cellStyle name="Normal 16 2 2" xfId="1224" xr:uid="{00000000-0005-0000-0000-00005A020000}"/>
    <cellStyle name="Normal 16 20" xfId="367" xr:uid="{00000000-0005-0000-0000-00005B020000}"/>
    <cellStyle name="Normal 16 20 2" xfId="1225" xr:uid="{00000000-0005-0000-0000-00005C020000}"/>
    <cellStyle name="Normal 16 21" xfId="368" xr:uid="{00000000-0005-0000-0000-00005D020000}"/>
    <cellStyle name="Normal 16 21 2" xfId="1226" xr:uid="{00000000-0005-0000-0000-00005E020000}"/>
    <cellStyle name="Normal 16 22" xfId="369" xr:uid="{00000000-0005-0000-0000-00005F020000}"/>
    <cellStyle name="Normal 16 22 2" xfId="1227" xr:uid="{00000000-0005-0000-0000-000060020000}"/>
    <cellStyle name="Normal 16 23" xfId="370" xr:uid="{00000000-0005-0000-0000-000061020000}"/>
    <cellStyle name="Normal 16 23 2" xfId="1228" xr:uid="{00000000-0005-0000-0000-000062020000}"/>
    <cellStyle name="Normal 16 24" xfId="371" xr:uid="{00000000-0005-0000-0000-000063020000}"/>
    <cellStyle name="Normal 16 24 2" xfId="1229" xr:uid="{00000000-0005-0000-0000-000064020000}"/>
    <cellStyle name="Normal 16 25" xfId="372" xr:uid="{00000000-0005-0000-0000-000065020000}"/>
    <cellStyle name="Normal 16 25 2" xfId="1230" xr:uid="{00000000-0005-0000-0000-000066020000}"/>
    <cellStyle name="Normal 16 26" xfId="373" xr:uid="{00000000-0005-0000-0000-000067020000}"/>
    <cellStyle name="Normal 16 26 2" xfId="1231" xr:uid="{00000000-0005-0000-0000-000068020000}"/>
    <cellStyle name="Normal 16 27" xfId="374" xr:uid="{00000000-0005-0000-0000-000069020000}"/>
    <cellStyle name="Normal 16 27 2" xfId="1232" xr:uid="{00000000-0005-0000-0000-00006A020000}"/>
    <cellStyle name="Normal 16 28" xfId="375" xr:uid="{00000000-0005-0000-0000-00006B020000}"/>
    <cellStyle name="Normal 16 28 2" xfId="1233" xr:uid="{00000000-0005-0000-0000-00006C020000}"/>
    <cellStyle name="Normal 16 29" xfId="376" xr:uid="{00000000-0005-0000-0000-00006D020000}"/>
    <cellStyle name="Normal 16 29 2" xfId="1234" xr:uid="{00000000-0005-0000-0000-00006E020000}"/>
    <cellStyle name="Normal 16 3" xfId="377" xr:uid="{00000000-0005-0000-0000-00006F020000}"/>
    <cellStyle name="Normal 16 3 2" xfId="1235" xr:uid="{00000000-0005-0000-0000-000070020000}"/>
    <cellStyle name="Normal 16 30" xfId="378" xr:uid="{00000000-0005-0000-0000-000071020000}"/>
    <cellStyle name="Normal 16 30 2" xfId="1236" xr:uid="{00000000-0005-0000-0000-000072020000}"/>
    <cellStyle name="Normal 16 31" xfId="379" xr:uid="{00000000-0005-0000-0000-000073020000}"/>
    <cellStyle name="Normal 16 31 2" xfId="1237" xr:uid="{00000000-0005-0000-0000-000074020000}"/>
    <cellStyle name="Normal 16 32" xfId="380" xr:uid="{00000000-0005-0000-0000-000075020000}"/>
    <cellStyle name="Normal 16 32 2" xfId="1238" xr:uid="{00000000-0005-0000-0000-000076020000}"/>
    <cellStyle name="Normal 16 33" xfId="381" xr:uid="{00000000-0005-0000-0000-000077020000}"/>
    <cellStyle name="Normal 16 33 2" xfId="1239" xr:uid="{00000000-0005-0000-0000-000078020000}"/>
    <cellStyle name="Normal 16 34" xfId="382" xr:uid="{00000000-0005-0000-0000-000079020000}"/>
    <cellStyle name="Normal 16 34 2" xfId="1240" xr:uid="{00000000-0005-0000-0000-00007A020000}"/>
    <cellStyle name="Normal 16 4" xfId="383" xr:uid="{00000000-0005-0000-0000-00007B020000}"/>
    <cellStyle name="Normal 16 4 2" xfId="1241" xr:uid="{00000000-0005-0000-0000-00007C020000}"/>
    <cellStyle name="Normal 16 5" xfId="384" xr:uid="{00000000-0005-0000-0000-00007D020000}"/>
    <cellStyle name="Normal 16 5 2" xfId="1242" xr:uid="{00000000-0005-0000-0000-00007E020000}"/>
    <cellStyle name="Normal 16 6" xfId="385" xr:uid="{00000000-0005-0000-0000-00007F020000}"/>
    <cellStyle name="Normal 16 6 2" xfId="1243" xr:uid="{00000000-0005-0000-0000-000080020000}"/>
    <cellStyle name="Normal 16 7" xfId="386" xr:uid="{00000000-0005-0000-0000-000081020000}"/>
    <cellStyle name="Normal 16 7 2" xfId="1244" xr:uid="{00000000-0005-0000-0000-000082020000}"/>
    <cellStyle name="Normal 16 8" xfId="387" xr:uid="{00000000-0005-0000-0000-000083020000}"/>
    <cellStyle name="Normal 16 8 2" xfId="1245" xr:uid="{00000000-0005-0000-0000-000084020000}"/>
    <cellStyle name="Normal 16 9" xfId="388" xr:uid="{00000000-0005-0000-0000-000085020000}"/>
    <cellStyle name="Normal 16 9 2" xfId="1246" xr:uid="{00000000-0005-0000-0000-000086020000}"/>
    <cellStyle name="Normal 17" xfId="389" xr:uid="{00000000-0005-0000-0000-000087020000}"/>
    <cellStyle name="Normal 17 10" xfId="390" xr:uid="{00000000-0005-0000-0000-000088020000}"/>
    <cellStyle name="Normal 17 10 2" xfId="1247" xr:uid="{00000000-0005-0000-0000-000089020000}"/>
    <cellStyle name="Normal 17 11" xfId="391" xr:uid="{00000000-0005-0000-0000-00008A020000}"/>
    <cellStyle name="Normal 17 11 2" xfId="1248" xr:uid="{00000000-0005-0000-0000-00008B020000}"/>
    <cellStyle name="Normal 17 12" xfId="392" xr:uid="{00000000-0005-0000-0000-00008C020000}"/>
    <cellStyle name="Normal 17 12 2" xfId="1249" xr:uid="{00000000-0005-0000-0000-00008D020000}"/>
    <cellStyle name="Normal 17 13" xfId="393" xr:uid="{00000000-0005-0000-0000-00008E020000}"/>
    <cellStyle name="Normal 17 13 2" xfId="1250" xr:uid="{00000000-0005-0000-0000-00008F020000}"/>
    <cellStyle name="Normal 17 14" xfId="394" xr:uid="{00000000-0005-0000-0000-000090020000}"/>
    <cellStyle name="Normal 17 14 2" xfId="1251" xr:uid="{00000000-0005-0000-0000-000091020000}"/>
    <cellStyle name="Normal 17 15" xfId="395" xr:uid="{00000000-0005-0000-0000-000092020000}"/>
    <cellStyle name="Normal 17 15 2" xfId="1252" xr:uid="{00000000-0005-0000-0000-000093020000}"/>
    <cellStyle name="Normal 17 16" xfId="396" xr:uid="{00000000-0005-0000-0000-000094020000}"/>
    <cellStyle name="Normal 17 16 2" xfId="1253" xr:uid="{00000000-0005-0000-0000-000095020000}"/>
    <cellStyle name="Normal 17 17" xfId="397" xr:uid="{00000000-0005-0000-0000-000096020000}"/>
    <cellStyle name="Normal 17 17 2" xfId="1254" xr:uid="{00000000-0005-0000-0000-000097020000}"/>
    <cellStyle name="Normal 17 18" xfId="398" xr:uid="{00000000-0005-0000-0000-000098020000}"/>
    <cellStyle name="Normal 17 18 2" xfId="1255" xr:uid="{00000000-0005-0000-0000-000099020000}"/>
    <cellStyle name="Normal 17 19" xfId="399" xr:uid="{00000000-0005-0000-0000-00009A020000}"/>
    <cellStyle name="Normal 17 19 2" xfId="1256" xr:uid="{00000000-0005-0000-0000-00009B020000}"/>
    <cellStyle name="Normal 17 2" xfId="400" xr:uid="{00000000-0005-0000-0000-00009C020000}"/>
    <cellStyle name="Normal 17 2 2" xfId="1257" xr:uid="{00000000-0005-0000-0000-00009D020000}"/>
    <cellStyle name="Normal 17 20" xfId="401" xr:uid="{00000000-0005-0000-0000-00009E020000}"/>
    <cellStyle name="Normal 17 20 2" xfId="1258" xr:uid="{00000000-0005-0000-0000-00009F020000}"/>
    <cellStyle name="Normal 17 21" xfId="402" xr:uid="{00000000-0005-0000-0000-0000A0020000}"/>
    <cellStyle name="Normal 17 21 2" xfId="1259" xr:uid="{00000000-0005-0000-0000-0000A1020000}"/>
    <cellStyle name="Normal 17 22" xfId="403" xr:uid="{00000000-0005-0000-0000-0000A2020000}"/>
    <cellStyle name="Normal 17 22 2" xfId="1260" xr:uid="{00000000-0005-0000-0000-0000A3020000}"/>
    <cellStyle name="Normal 17 23" xfId="404" xr:uid="{00000000-0005-0000-0000-0000A4020000}"/>
    <cellStyle name="Normal 17 23 2" xfId="1261" xr:uid="{00000000-0005-0000-0000-0000A5020000}"/>
    <cellStyle name="Normal 17 24" xfId="405" xr:uid="{00000000-0005-0000-0000-0000A6020000}"/>
    <cellStyle name="Normal 17 24 2" xfId="1262" xr:uid="{00000000-0005-0000-0000-0000A7020000}"/>
    <cellStyle name="Normal 17 25" xfId="406" xr:uid="{00000000-0005-0000-0000-0000A8020000}"/>
    <cellStyle name="Normal 17 25 2" xfId="1263" xr:uid="{00000000-0005-0000-0000-0000A9020000}"/>
    <cellStyle name="Normal 17 26" xfId="407" xr:uid="{00000000-0005-0000-0000-0000AA020000}"/>
    <cellStyle name="Normal 17 26 2" xfId="1264" xr:uid="{00000000-0005-0000-0000-0000AB020000}"/>
    <cellStyle name="Normal 17 27" xfId="408" xr:uid="{00000000-0005-0000-0000-0000AC020000}"/>
    <cellStyle name="Normal 17 27 2" xfId="1265" xr:uid="{00000000-0005-0000-0000-0000AD020000}"/>
    <cellStyle name="Normal 17 28" xfId="409" xr:uid="{00000000-0005-0000-0000-0000AE020000}"/>
    <cellStyle name="Normal 17 28 2" xfId="1266" xr:uid="{00000000-0005-0000-0000-0000AF020000}"/>
    <cellStyle name="Normal 17 29" xfId="410" xr:uid="{00000000-0005-0000-0000-0000B0020000}"/>
    <cellStyle name="Normal 17 29 2" xfId="1267" xr:uid="{00000000-0005-0000-0000-0000B1020000}"/>
    <cellStyle name="Normal 17 3" xfId="411" xr:uid="{00000000-0005-0000-0000-0000B2020000}"/>
    <cellStyle name="Normal 17 3 2" xfId="1268" xr:uid="{00000000-0005-0000-0000-0000B3020000}"/>
    <cellStyle name="Normal 17 30" xfId="412" xr:uid="{00000000-0005-0000-0000-0000B4020000}"/>
    <cellStyle name="Normal 17 30 2" xfId="1269" xr:uid="{00000000-0005-0000-0000-0000B5020000}"/>
    <cellStyle name="Normal 17 31" xfId="413" xr:uid="{00000000-0005-0000-0000-0000B6020000}"/>
    <cellStyle name="Normal 17 31 2" xfId="1270" xr:uid="{00000000-0005-0000-0000-0000B7020000}"/>
    <cellStyle name="Normal 17 32" xfId="414" xr:uid="{00000000-0005-0000-0000-0000B8020000}"/>
    <cellStyle name="Normal 17 32 2" xfId="1271" xr:uid="{00000000-0005-0000-0000-0000B9020000}"/>
    <cellStyle name="Normal 17 33" xfId="415" xr:uid="{00000000-0005-0000-0000-0000BA020000}"/>
    <cellStyle name="Normal 17 33 2" xfId="1272" xr:uid="{00000000-0005-0000-0000-0000BB020000}"/>
    <cellStyle name="Normal 17 34" xfId="416" xr:uid="{00000000-0005-0000-0000-0000BC020000}"/>
    <cellStyle name="Normal 17 34 2" xfId="1273" xr:uid="{00000000-0005-0000-0000-0000BD020000}"/>
    <cellStyle name="Normal 17 4" xfId="417" xr:uid="{00000000-0005-0000-0000-0000BE020000}"/>
    <cellStyle name="Normal 17 4 2" xfId="1274" xr:uid="{00000000-0005-0000-0000-0000BF020000}"/>
    <cellStyle name="Normal 17 5" xfId="418" xr:uid="{00000000-0005-0000-0000-0000C0020000}"/>
    <cellStyle name="Normal 17 5 2" xfId="1275" xr:uid="{00000000-0005-0000-0000-0000C1020000}"/>
    <cellStyle name="Normal 17 6" xfId="419" xr:uid="{00000000-0005-0000-0000-0000C2020000}"/>
    <cellStyle name="Normal 17 6 2" xfId="1276" xr:uid="{00000000-0005-0000-0000-0000C3020000}"/>
    <cellStyle name="Normal 17 7" xfId="420" xr:uid="{00000000-0005-0000-0000-0000C4020000}"/>
    <cellStyle name="Normal 17 7 2" xfId="1277" xr:uid="{00000000-0005-0000-0000-0000C5020000}"/>
    <cellStyle name="Normal 17 8" xfId="421" xr:uid="{00000000-0005-0000-0000-0000C6020000}"/>
    <cellStyle name="Normal 17 8 2" xfId="1278" xr:uid="{00000000-0005-0000-0000-0000C7020000}"/>
    <cellStyle name="Normal 17 9" xfId="422" xr:uid="{00000000-0005-0000-0000-0000C8020000}"/>
    <cellStyle name="Normal 17 9 2" xfId="1279" xr:uid="{00000000-0005-0000-0000-0000C9020000}"/>
    <cellStyle name="Normal 18" xfId="423" xr:uid="{00000000-0005-0000-0000-0000CA020000}"/>
    <cellStyle name="Normal 18 10" xfId="424" xr:uid="{00000000-0005-0000-0000-0000CB020000}"/>
    <cellStyle name="Normal 18 10 2" xfId="1280" xr:uid="{00000000-0005-0000-0000-0000CC020000}"/>
    <cellStyle name="Normal 18 11" xfId="425" xr:uid="{00000000-0005-0000-0000-0000CD020000}"/>
    <cellStyle name="Normal 18 11 2" xfId="1281" xr:uid="{00000000-0005-0000-0000-0000CE020000}"/>
    <cellStyle name="Normal 18 12" xfId="426" xr:uid="{00000000-0005-0000-0000-0000CF020000}"/>
    <cellStyle name="Normal 18 12 2" xfId="1282" xr:uid="{00000000-0005-0000-0000-0000D0020000}"/>
    <cellStyle name="Normal 18 13" xfId="427" xr:uid="{00000000-0005-0000-0000-0000D1020000}"/>
    <cellStyle name="Normal 18 13 2" xfId="1283" xr:uid="{00000000-0005-0000-0000-0000D2020000}"/>
    <cellStyle name="Normal 18 14" xfId="428" xr:uid="{00000000-0005-0000-0000-0000D3020000}"/>
    <cellStyle name="Normal 18 14 2" xfId="1284" xr:uid="{00000000-0005-0000-0000-0000D4020000}"/>
    <cellStyle name="Normal 18 15" xfId="429" xr:uid="{00000000-0005-0000-0000-0000D5020000}"/>
    <cellStyle name="Normal 18 15 2" xfId="1285" xr:uid="{00000000-0005-0000-0000-0000D6020000}"/>
    <cellStyle name="Normal 18 16" xfId="430" xr:uid="{00000000-0005-0000-0000-0000D7020000}"/>
    <cellStyle name="Normal 18 16 2" xfId="1286" xr:uid="{00000000-0005-0000-0000-0000D8020000}"/>
    <cellStyle name="Normal 18 17" xfId="431" xr:uid="{00000000-0005-0000-0000-0000D9020000}"/>
    <cellStyle name="Normal 18 17 2" xfId="1287" xr:uid="{00000000-0005-0000-0000-0000DA020000}"/>
    <cellStyle name="Normal 18 18" xfId="432" xr:uid="{00000000-0005-0000-0000-0000DB020000}"/>
    <cellStyle name="Normal 18 18 2" xfId="1288" xr:uid="{00000000-0005-0000-0000-0000DC020000}"/>
    <cellStyle name="Normal 18 19" xfId="433" xr:uid="{00000000-0005-0000-0000-0000DD020000}"/>
    <cellStyle name="Normal 18 19 2" xfId="1289" xr:uid="{00000000-0005-0000-0000-0000DE020000}"/>
    <cellStyle name="Normal 18 2" xfId="434" xr:uid="{00000000-0005-0000-0000-0000DF020000}"/>
    <cellStyle name="Normal 18 2 2" xfId="1290" xr:uid="{00000000-0005-0000-0000-0000E0020000}"/>
    <cellStyle name="Normal 18 20" xfId="435" xr:uid="{00000000-0005-0000-0000-0000E1020000}"/>
    <cellStyle name="Normal 18 20 2" xfId="1291" xr:uid="{00000000-0005-0000-0000-0000E2020000}"/>
    <cellStyle name="Normal 18 21" xfId="436" xr:uid="{00000000-0005-0000-0000-0000E3020000}"/>
    <cellStyle name="Normal 18 21 2" xfId="1292" xr:uid="{00000000-0005-0000-0000-0000E4020000}"/>
    <cellStyle name="Normal 18 22" xfId="437" xr:uid="{00000000-0005-0000-0000-0000E5020000}"/>
    <cellStyle name="Normal 18 22 2" xfId="1293" xr:uid="{00000000-0005-0000-0000-0000E6020000}"/>
    <cellStyle name="Normal 18 23" xfId="438" xr:uid="{00000000-0005-0000-0000-0000E7020000}"/>
    <cellStyle name="Normal 18 23 2" xfId="1294" xr:uid="{00000000-0005-0000-0000-0000E8020000}"/>
    <cellStyle name="Normal 18 24" xfId="439" xr:uid="{00000000-0005-0000-0000-0000E9020000}"/>
    <cellStyle name="Normal 18 24 2" xfId="1295" xr:uid="{00000000-0005-0000-0000-0000EA020000}"/>
    <cellStyle name="Normal 18 25" xfId="440" xr:uid="{00000000-0005-0000-0000-0000EB020000}"/>
    <cellStyle name="Normal 18 25 2" xfId="1296" xr:uid="{00000000-0005-0000-0000-0000EC020000}"/>
    <cellStyle name="Normal 18 26" xfId="441" xr:uid="{00000000-0005-0000-0000-0000ED020000}"/>
    <cellStyle name="Normal 18 26 2" xfId="1297" xr:uid="{00000000-0005-0000-0000-0000EE020000}"/>
    <cellStyle name="Normal 18 27" xfId="442" xr:uid="{00000000-0005-0000-0000-0000EF020000}"/>
    <cellStyle name="Normal 18 27 2" xfId="1298" xr:uid="{00000000-0005-0000-0000-0000F0020000}"/>
    <cellStyle name="Normal 18 28" xfId="443" xr:uid="{00000000-0005-0000-0000-0000F1020000}"/>
    <cellStyle name="Normal 18 28 2" xfId="1299" xr:uid="{00000000-0005-0000-0000-0000F2020000}"/>
    <cellStyle name="Normal 18 29" xfId="444" xr:uid="{00000000-0005-0000-0000-0000F3020000}"/>
    <cellStyle name="Normal 18 29 2" xfId="1300" xr:uid="{00000000-0005-0000-0000-0000F4020000}"/>
    <cellStyle name="Normal 18 3" xfId="445" xr:uid="{00000000-0005-0000-0000-0000F5020000}"/>
    <cellStyle name="Normal 18 3 2" xfId="1301" xr:uid="{00000000-0005-0000-0000-0000F6020000}"/>
    <cellStyle name="Normal 18 30" xfId="446" xr:uid="{00000000-0005-0000-0000-0000F7020000}"/>
    <cellStyle name="Normal 18 30 2" xfId="1302" xr:uid="{00000000-0005-0000-0000-0000F8020000}"/>
    <cellStyle name="Normal 18 31" xfId="447" xr:uid="{00000000-0005-0000-0000-0000F9020000}"/>
    <cellStyle name="Normal 18 31 2" xfId="1303" xr:uid="{00000000-0005-0000-0000-0000FA020000}"/>
    <cellStyle name="Normal 18 32" xfId="448" xr:uid="{00000000-0005-0000-0000-0000FB020000}"/>
    <cellStyle name="Normal 18 32 2" xfId="1304" xr:uid="{00000000-0005-0000-0000-0000FC020000}"/>
    <cellStyle name="Normal 18 33" xfId="449" xr:uid="{00000000-0005-0000-0000-0000FD020000}"/>
    <cellStyle name="Normal 18 33 2" xfId="1305" xr:uid="{00000000-0005-0000-0000-0000FE020000}"/>
    <cellStyle name="Normal 18 34" xfId="450" xr:uid="{00000000-0005-0000-0000-0000FF020000}"/>
    <cellStyle name="Normal 18 34 2" xfId="1306" xr:uid="{00000000-0005-0000-0000-000000030000}"/>
    <cellStyle name="Normal 18 4" xfId="451" xr:uid="{00000000-0005-0000-0000-000001030000}"/>
    <cellStyle name="Normal 18 4 2" xfId="1307" xr:uid="{00000000-0005-0000-0000-000002030000}"/>
    <cellStyle name="Normal 18 5" xfId="452" xr:uid="{00000000-0005-0000-0000-000003030000}"/>
    <cellStyle name="Normal 18 5 2" xfId="1308" xr:uid="{00000000-0005-0000-0000-000004030000}"/>
    <cellStyle name="Normal 18 6" xfId="453" xr:uid="{00000000-0005-0000-0000-000005030000}"/>
    <cellStyle name="Normal 18 6 2" xfId="1309" xr:uid="{00000000-0005-0000-0000-000006030000}"/>
    <cellStyle name="Normal 18 7" xfId="454" xr:uid="{00000000-0005-0000-0000-000007030000}"/>
    <cellStyle name="Normal 18 7 2" xfId="1310" xr:uid="{00000000-0005-0000-0000-000008030000}"/>
    <cellStyle name="Normal 18 8" xfId="455" xr:uid="{00000000-0005-0000-0000-000009030000}"/>
    <cellStyle name="Normal 18 8 2" xfId="1311" xr:uid="{00000000-0005-0000-0000-00000A030000}"/>
    <cellStyle name="Normal 18 9" xfId="456" xr:uid="{00000000-0005-0000-0000-00000B030000}"/>
    <cellStyle name="Normal 18 9 2" xfId="1312" xr:uid="{00000000-0005-0000-0000-00000C030000}"/>
    <cellStyle name="Normal 19" xfId="457" xr:uid="{00000000-0005-0000-0000-00000D030000}"/>
    <cellStyle name="Normal 19 2" xfId="458" xr:uid="{00000000-0005-0000-0000-00000E030000}"/>
    <cellStyle name="Normal 19 2 2" xfId="1313" xr:uid="{00000000-0005-0000-0000-00000F030000}"/>
    <cellStyle name="Normal 19 3" xfId="1314" xr:uid="{00000000-0005-0000-0000-000010030000}"/>
    <cellStyle name="Normal 2" xfId="1" xr:uid="{00000000-0005-0000-0000-000011030000}"/>
    <cellStyle name="Normal 2 2" xfId="3" xr:uid="{00000000-0005-0000-0000-000012030000}"/>
    <cellStyle name="Normal 2 2 2" xfId="1315" xr:uid="{00000000-0005-0000-0000-000013030000}"/>
    <cellStyle name="Normal 2 3" xfId="12" xr:uid="{00000000-0005-0000-0000-000014030000}"/>
    <cellStyle name="Normal 2 3 2" xfId="1316" xr:uid="{00000000-0005-0000-0000-000015030000}"/>
    <cellStyle name="Normal 2 3 3" xfId="104" xr:uid="{00000000-0005-0000-0000-000016030000}"/>
    <cellStyle name="Normal 2 3 4" xfId="1788" xr:uid="{00000000-0005-0000-0000-000017030000}"/>
    <cellStyle name="Normal 2 3 5" xfId="2049" xr:uid="{00000000-0005-0000-0000-000018030000}"/>
    <cellStyle name="Normal 2 4" xfId="19" xr:uid="{00000000-0005-0000-0000-000019030000}"/>
    <cellStyle name="Normal 2 4 2" xfId="1317" xr:uid="{00000000-0005-0000-0000-00001A030000}"/>
    <cellStyle name="Normal 2 4 3" xfId="105" xr:uid="{00000000-0005-0000-0000-00001B030000}"/>
    <cellStyle name="Normal 2 4 4" xfId="1794" xr:uid="{00000000-0005-0000-0000-00001C030000}"/>
    <cellStyle name="Normal 2 5" xfId="106" xr:uid="{00000000-0005-0000-0000-00001D030000}"/>
    <cellStyle name="Normal 2 5 2" xfId="1318" xr:uid="{00000000-0005-0000-0000-00001E030000}"/>
    <cellStyle name="Normal 2 6" xfId="944" xr:uid="{00000000-0005-0000-0000-00001F030000}"/>
    <cellStyle name="Normal 2 6 2" xfId="1954" xr:uid="{00000000-0005-0000-0000-000020030000}"/>
    <cellStyle name="Normal 2 7" xfId="1773" xr:uid="{00000000-0005-0000-0000-000021030000}"/>
    <cellStyle name="Normal 2 7 2" xfId="2041" xr:uid="{00000000-0005-0000-0000-000022030000}"/>
    <cellStyle name="Normal 2 8" xfId="103" xr:uid="{00000000-0005-0000-0000-000023030000}"/>
    <cellStyle name="Normal 2 8 2" xfId="1810" xr:uid="{00000000-0005-0000-0000-000024030000}"/>
    <cellStyle name="Normal 2 9" xfId="1782" xr:uid="{00000000-0005-0000-0000-000025030000}"/>
    <cellStyle name="Normal 2_2011-06 HUD Plant Wide Emissions" xfId="1319" xr:uid="{00000000-0005-0000-0000-000026030000}"/>
    <cellStyle name="Normal 20" xfId="146" xr:uid="{00000000-0005-0000-0000-000027030000}"/>
    <cellStyle name="Normal 20 2" xfId="459" xr:uid="{00000000-0005-0000-0000-000028030000}"/>
    <cellStyle name="Normal 20 2 2" xfId="1320" xr:uid="{00000000-0005-0000-0000-000029030000}"/>
    <cellStyle name="Normal 20 3" xfId="1321" xr:uid="{00000000-0005-0000-0000-00002A030000}"/>
    <cellStyle name="Normal 21" xfId="460" xr:uid="{00000000-0005-0000-0000-00002B030000}"/>
    <cellStyle name="Normal 21 2" xfId="461" xr:uid="{00000000-0005-0000-0000-00002C030000}"/>
    <cellStyle name="Normal 21 2 2" xfId="1322" xr:uid="{00000000-0005-0000-0000-00002D030000}"/>
    <cellStyle name="Normal 21 3" xfId="1323" xr:uid="{00000000-0005-0000-0000-00002E030000}"/>
    <cellStyle name="Normal 22" xfId="462" xr:uid="{00000000-0005-0000-0000-00002F030000}"/>
    <cellStyle name="Normal 22 2" xfId="1324" xr:uid="{00000000-0005-0000-0000-000030030000}"/>
    <cellStyle name="Normal 22 3" xfId="1325" xr:uid="{00000000-0005-0000-0000-000031030000}"/>
    <cellStyle name="Normal 23" xfId="463" xr:uid="{00000000-0005-0000-0000-000032030000}"/>
    <cellStyle name="Normal 23 2" xfId="945" xr:uid="{00000000-0005-0000-0000-000033030000}"/>
    <cellStyle name="Normal 23 2 2" xfId="1754" xr:uid="{00000000-0005-0000-0000-000034030000}"/>
    <cellStyle name="Normal 23 2 2 2" xfId="2023" xr:uid="{00000000-0005-0000-0000-000035030000}"/>
    <cellStyle name="Normal 23 2 3" xfId="1955" xr:uid="{00000000-0005-0000-0000-000036030000}"/>
    <cellStyle name="Normal 23 3" xfId="1745" xr:uid="{00000000-0005-0000-0000-000037030000}"/>
    <cellStyle name="Normal 23 3 2" xfId="2014" xr:uid="{00000000-0005-0000-0000-000038030000}"/>
    <cellStyle name="Normal 23 4" xfId="1839" xr:uid="{00000000-0005-0000-0000-000039030000}"/>
    <cellStyle name="Normal 24" xfId="464" xr:uid="{00000000-0005-0000-0000-00003A030000}"/>
    <cellStyle name="Normal 24 2" xfId="465" xr:uid="{00000000-0005-0000-0000-00003B030000}"/>
    <cellStyle name="Normal 24 2 2" xfId="1326" xr:uid="{00000000-0005-0000-0000-00003C030000}"/>
    <cellStyle name="Normal 24 3" xfId="946" xr:uid="{00000000-0005-0000-0000-00003D030000}"/>
    <cellStyle name="Normal 24 3 2" xfId="1755" xr:uid="{00000000-0005-0000-0000-00003E030000}"/>
    <cellStyle name="Normal 24 3 2 2" xfId="2024" xr:uid="{00000000-0005-0000-0000-00003F030000}"/>
    <cellStyle name="Normal 24 3 3" xfId="1956" xr:uid="{00000000-0005-0000-0000-000040030000}"/>
    <cellStyle name="Normal 24 4" xfId="1327" xr:uid="{00000000-0005-0000-0000-000041030000}"/>
    <cellStyle name="Normal 24 4 2" xfId="1761" xr:uid="{00000000-0005-0000-0000-000042030000}"/>
    <cellStyle name="Normal 24 4 2 2" xfId="2030" xr:uid="{00000000-0005-0000-0000-000043030000}"/>
    <cellStyle name="Normal 24 4 3" xfId="2001" xr:uid="{00000000-0005-0000-0000-000044030000}"/>
    <cellStyle name="Normal 24 5" xfId="1746" xr:uid="{00000000-0005-0000-0000-000045030000}"/>
    <cellStyle name="Normal 24 5 2" xfId="2015" xr:uid="{00000000-0005-0000-0000-000046030000}"/>
    <cellStyle name="Normal 24 6" xfId="1840" xr:uid="{00000000-0005-0000-0000-000047030000}"/>
    <cellStyle name="Normal 25" xfId="466" xr:uid="{00000000-0005-0000-0000-000048030000}"/>
    <cellStyle name="Normal 25 2" xfId="1328" xr:uid="{00000000-0005-0000-0000-000049030000}"/>
    <cellStyle name="Normal 25 3" xfId="1329" xr:uid="{00000000-0005-0000-0000-00004A030000}"/>
    <cellStyle name="Normal 26" xfId="467" xr:uid="{00000000-0005-0000-0000-00004B030000}"/>
    <cellStyle name="Normal 26 2" xfId="1330" xr:uid="{00000000-0005-0000-0000-00004C030000}"/>
    <cellStyle name="Normal 27" xfId="468" xr:uid="{00000000-0005-0000-0000-00004D030000}"/>
    <cellStyle name="Normal 27 2" xfId="1331" xr:uid="{00000000-0005-0000-0000-00004E030000}"/>
    <cellStyle name="Normal 28" xfId="469" xr:uid="{00000000-0005-0000-0000-00004F030000}"/>
    <cellStyle name="Normal 28 2" xfId="1332" xr:uid="{00000000-0005-0000-0000-000050030000}"/>
    <cellStyle name="Normal 29" xfId="470" xr:uid="{00000000-0005-0000-0000-000051030000}"/>
    <cellStyle name="Normal 29 2" xfId="1333" xr:uid="{00000000-0005-0000-0000-000052030000}"/>
    <cellStyle name="Normal 3" xfId="2" xr:uid="{00000000-0005-0000-0000-000053030000}"/>
    <cellStyle name="Normal 3 10" xfId="471" xr:uid="{00000000-0005-0000-0000-000054030000}"/>
    <cellStyle name="Normal 3 10 2" xfId="1334" xr:uid="{00000000-0005-0000-0000-000055030000}"/>
    <cellStyle name="Normal 3 11" xfId="472" xr:uid="{00000000-0005-0000-0000-000056030000}"/>
    <cellStyle name="Normal 3 11 2" xfId="1335" xr:uid="{00000000-0005-0000-0000-000057030000}"/>
    <cellStyle name="Normal 3 12" xfId="473" xr:uid="{00000000-0005-0000-0000-000058030000}"/>
    <cellStyle name="Normal 3 12 2" xfId="1336" xr:uid="{00000000-0005-0000-0000-000059030000}"/>
    <cellStyle name="Normal 3 13" xfId="474" xr:uid="{00000000-0005-0000-0000-00005A030000}"/>
    <cellStyle name="Normal 3 13 2" xfId="1337" xr:uid="{00000000-0005-0000-0000-00005B030000}"/>
    <cellStyle name="Normal 3 14" xfId="475" xr:uid="{00000000-0005-0000-0000-00005C030000}"/>
    <cellStyle name="Normal 3 14 2" xfId="1338" xr:uid="{00000000-0005-0000-0000-00005D030000}"/>
    <cellStyle name="Normal 3 15" xfId="476" xr:uid="{00000000-0005-0000-0000-00005E030000}"/>
    <cellStyle name="Normal 3 15 2" xfId="1339" xr:uid="{00000000-0005-0000-0000-00005F030000}"/>
    <cellStyle name="Normal 3 16" xfId="477" xr:uid="{00000000-0005-0000-0000-000060030000}"/>
    <cellStyle name="Normal 3 16 2" xfId="1340" xr:uid="{00000000-0005-0000-0000-000061030000}"/>
    <cellStyle name="Normal 3 17" xfId="478" xr:uid="{00000000-0005-0000-0000-000062030000}"/>
    <cellStyle name="Normal 3 17 2" xfId="1341" xr:uid="{00000000-0005-0000-0000-000063030000}"/>
    <cellStyle name="Normal 3 18" xfId="479" xr:uid="{00000000-0005-0000-0000-000064030000}"/>
    <cellStyle name="Normal 3 18 2" xfId="1342" xr:uid="{00000000-0005-0000-0000-000065030000}"/>
    <cellStyle name="Normal 3 19" xfId="480" xr:uid="{00000000-0005-0000-0000-000066030000}"/>
    <cellStyle name="Normal 3 19 2" xfId="1343" xr:uid="{00000000-0005-0000-0000-000067030000}"/>
    <cellStyle name="Normal 3 2" xfId="8" xr:uid="{00000000-0005-0000-0000-000068030000}"/>
    <cellStyle name="Normal 3 2 2" xfId="10" xr:uid="{00000000-0005-0000-0000-000069030000}"/>
    <cellStyle name="Normal 3 2 2 2" xfId="1344" xr:uid="{00000000-0005-0000-0000-00006A030000}"/>
    <cellStyle name="Normal 3 2 2 3" xfId="481" xr:uid="{00000000-0005-0000-0000-00006B030000}"/>
    <cellStyle name="Normal 3 2 2 4" xfId="1777" xr:uid="{00000000-0005-0000-0000-00006C030000}"/>
    <cellStyle name="Normal 3 2 2 4 2" xfId="2044" xr:uid="{00000000-0005-0000-0000-00006D030000}"/>
    <cellStyle name="Normal 3 2 2 4 3" xfId="2048" xr:uid="{00000000-0005-0000-0000-00006E030000}"/>
    <cellStyle name="Normal 3 2 2 4 9" xfId="2056" xr:uid="{3FE543FF-3808-4733-8834-B27BF5A2F575}"/>
    <cellStyle name="Normal 3 2 2 5" xfId="1787" xr:uid="{00000000-0005-0000-0000-00006F030000}"/>
    <cellStyle name="Normal 3 2 2 6" xfId="2055" xr:uid="{94922D29-6DB9-474B-BA2E-BC5FF244AB33}"/>
    <cellStyle name="Normal 3 2 3" xfId="14" xr:uid="{00000000-0005-0000-0000-000070030000}"/>
    <cellStyle name="Normal 3 2 3 2" xfId="948" xr:uid="{00000000-0005-0000-0000-000071030000}"/>
    <cellStyle name="Normal 3 2 3 2 2" xfId="1958" xr:uid="{00000000-0005-0000-0000-000072030000}"/>
    <cellStyle name="Normal 3 2 3 3" xfId="1790" xr:uid="{00000000-0005-0000-0000-000073030000}"/>
    <cellStyle name="Normal 3 2 4" xfId="20" xr:uid="{00000000-0005-0000-0000-000074030000}"/>
    <cellStyle name="Normal 3 2 4 2" xfId="1762" xr:uid="{00000000-0005-0000-0000-000075030000}"/>
    <cellStyle name="Normal 3 2 4 2 2" xfId="2031" xr:uid="{00000000-0005-0000-0000-000076030000}"/>
    <cellStyle name="Normal 3 2 4 3" xfId="1345" xr:uid="{00000000-0005-0000-0000-000077030000}"/>
    <cellStyle name="Normal 3 2 4 3 2" xfId="2002" xr:uid="{00000000-0005-0000-0000-000078030000}"/>
    <cellStyle name="Normal 3 2 4 4" xfId="1795" xr:uid="{00000000-0005-0000-0000-000079030000}"/>
    <cellStyle name="Normal 3 2 5" xfId="1346" xr:uid="{00000000-0005-0000-0000-00007A030000}"/>
    <cellStyle name="Normal 3 2 5 2" xfId="1763" xr:uid="{00000000-0005-0000-0000-00007B030000}"/>
    <cellStyle name="Normal 3 2 5 2 2" xfId="2032" xr:uid="{00000000-0005-0000-0000-00007C030000}"/>
    <cellStyle name="Normal 3 2 5 3" xfId="2003" xr:uid="{00000000-0005-0000-0000-00007D030000}"/>
    <cellStyle name="Normal 3 2 6" xfId="108" xr:uid="{00000000-0005-0000-0000-00007E030000}"/>
    <cellStyle name="Normal 3 2 6 2" xfId="1812" xr:uid="{00000000-0005-0000-0000-00007F030000}"/>
    <cellStyle name="Normal 3 2 7" xfId="1785" xr:uid="{00000000-0005-0000-0000-000080030000}"/>
    <cellStyle name="Normal 3 20" xfId="482" xr:uid="{00000000-0005-0000-0000-000081030000}"/>
    <cellStyle name="Normal 3 20 2" xfId="1347" xr:uid="{00000000-0005-0000-0000-000082030000}"/>
    <cellStyle name="Normal 3 21" xfId="483" xr:uid="{00000000-0005-0000-0000-000083030000}"/>
    <cellStyle name="Normal 3 21 2" xfId="1348" xr:uid="{00000000-0005-0000-0000-000084030000}"/>
    <cellStyle name="Normal 3 22" xfId="484" xr:uid="{00000000-0005-0000-0000-000085030000}"/>
    <cellStyle name="Normal 3 22 2" xfId="1349" xr:uid="{00000000-0005-0000-0000-000086030000}"/>
    <cellStyle name="Normal 3 23" xfId="485" xr:uid="{00000000-0005-0000-0000-000087030000}"/>
    <cellStyle name="Normal 3 23 2" xfId="1350" xr:uid="{00000000-0005-0000-0000-000088030000}"/>
    <cellStyle name="Normal 3 24" xfId="486" xr:uid="{00000000-0005-0000-0000-000089030000}"/>
    <cellStyle name="Normal 3 24 2" xfId="1351" xr:uid="{00000000-0005-0000-0000-00008A030000}"/>
    <cellStyle name="Normal 3 25" xfId="487" xr:uid="{00000000-0005-0000-0000-00008B030000}"/>
    <cellStyle name="Normal 3 25 2" xfId="1352" xr:uid="{00000000-0005-0000-0000-00008C030000}"/>
    <cellStyle name="Normal 3 26" xfId="488" xr:uid="{00000000-0005-0000-0000-00008D030000}"/>
    <cellStyle name="Normal 3 26 2" xfId="1353" xr:uid="{00000000-0005-0000-0000-00008E030000}"/>
    <cellStyle name="Normal 3 27" xfId="489" xr:uid="{00000000-0005-0000-0000-00008F030000}"/>
    <cellStyle name="Normal 3 27 2" xfId="1354" xr:uid="{00000000-0005-0000-0000-000090030000}"/>
    <cellStyle name="Normal 3 28" xfId="490" xr:uid="{00000000-0005-0000-0000-000091030000}"/>
    <cellStyle name="Normal 3 28 2" xfId="1355" xr:uid="{00000000-0005-0000-0000-000092030000}"/>
    <cellStyle name="Normal 3 29" xfId="491" xr:uid="{00000000-0005-0000-0000-000093030000}"/>
    <cellStyle name="Normal 3 29 2" xfId="1356" xr:uid="{00000000-0005-0000-0000-000094030000}"/>
    <cellStyle name="Normal 3 3" xfId="492" xr:uid="{00000000-0005-0000-0000-000095030000}"/>
    <cellStyle name="Normal 3 3 2" xfId="493" xr:uid="{00000000-0005-0000-0000-000096030000}"/>
    <cellStyle name="Normal 3 3 2 2" xfId="1357" xr:uid="{00000000-0005-0000-0000-000097030000}"/>
    <cellStyle name="Normal 3 3 3" xfId="1358" xr:uid="{00000000-0005-0000-0000-000098030000}"/>
    <cellStyle name="Normal 3 3 4" xfId="1841" xr:uid="{00000000-0005-0000-0000-000099030000}"/>
    <cellStyle name="Normal 3 30" xfId="494" xr:uid="{00000000-0005-0000-0000-00009A030000}"/>
    <cellStyle name="Normal 3 30 2" xfId="1359" xr:uid="{00000000-0005-0000-0000-00009B030000}"/>
    <cellStyle name="Normal 3 31" xfId="495" xr:uid="{00000000-0005-0000-0000-00009C030000}"/>
    <cellStyle name="Normal 3 31 2" xfId="1360" xr:uid="{00000000-0005-0000-0000-00009D030000}"/>
    <cellStyle name="Normal 3 32" xfId="496" xr:uid="{00000000-0005-0000-0000-00009E030000}"/>
    <cellStyle name="Normal 3 32 2" xfId="1361" xr:uid="{00000000-0005-0000-0000-00009F030000}"/>
    <cellStyle name="Normal 3 33" xfId="497" xr:uid="{00000000-0005-0000-0000-0000A0030000}"/>
    <cellStyle name="Normal 3 33 2" xfId="1362" xr:uid="{00000000-0005-0000-0000-0000A1030000}"/>
    <cellStyle name="Normal 3 34" xfId="498" xr:uid="{00000000-0005-0000-0000-0000A2030000}"/>
    <cellStyle name="Normal 3 34 2" xfId="1363" xr:uid="{00000000-0005-0000-0000-0000A3030000}"/>
    <cellStyle name="Normal 3 35" xfId="499" xr:uid="{00000000-0005-0000-0000-0000A4030000}"/>
    <cellStyle name="Normal 3 35 2" xfId="1842" xr:uid="{00000000-0005-0000-0000-0000A5030000}"/>
    <cellStyle name="Normal 3 36" xfId="500" xr:uid="{00000000-0005-0000-0000-0000A6030000}"/>
    <cellStyle name="Normal 3 36 2" xfId="1843" xr:uid="{00000000-0005-0000-0000-0000A7030000}"/>
    <cellStyle name="Normal 3 37" xfId="501" xr:uid="{00000000-0005-0000-0000-0000A8030000}"/>
    <cellStyle name="Normal 3 37 2" xfId="1844" xr:uid="{00000000-0005-0000-0000-0000A9030000}"/>
    <cellStyle name="Normal 3 38" xfId="502" xr:uid="{00000000-0005-0000-0000-0000AA030000}"/>
    <cellStyle name="Normal 3 38 2" xfId="1845" xr:uid="{00000000-0005-0000-0000-0000AB030000}"/>
    <cellStyle name="Normal 3 39" xfId="503" xr:uid="{00000000-0005-0000-0000-0000AC030000}"/>
    <cellStyle name="Normal 3 39 2" xfId="1846" xr:uid="{00000000-0005-0000-0000-0000AD030000}"/>
    <cellStyle name="Normal 3 4" xfId="504" xr:uid="{00000000-0005-0000-0000-0000AE030000}"/>
    <cellStyle name="Normal 3 4 2" xfId="505" xr:uid="{00000000-0005-0000-0000-0000AF030000}"/>
    <cellStyle name="Normal 3 4 2 2" xfId="1364" xr:uid="{00000000-0005-0000-0000-0000B0030000}"/>
    <cellStyle name="Normal 3 4 3" xfId="1365" xr:uid="{00000000-0005-0000-0000-0000B1030000}"/>
    <cellStyle name="Normal 3 4 4" xfId="1847" xr:uid="{00000000-0005-0000-0000-0000B2030000}"/>
    <cellStyle name="Normal 3 40" xfId="506" xr:uid="{00000000-0005-0000-0000-0000B3030000}"/>
    <cellStyle name="Normal 3 40 2" xfId="1848" xr:uid="{00000000-0005-0000-0000-0000B4030000}"/>
    <cellStyle name="Normal 3 41" xfId="507" xr:uid="{00000000-0005-0000-0000-0000B5030000}"/>
    <cellStyle name="Normal 3 41 2" xfId="1849" xr:uid="{00000000-0005-0000-0000-0000B6030000}"/>
    <cellStyle name="Normal 3 42" xfId="508" xr:uid="{00000000-0005-0000-0000-0000B7030000}"/>
    <cellStyle name="Normal 3 42 2" xfId="1850" xr:uid="{00000000-0005-0000-0000-0000B8030000}"/>
    <cellStyle name="Normal 3 43" xfId="509" xr:uid="{00000000-0005-0000-0000-0000B9030000}"/>
    <cellStyle name="Normal 3 43 2" xfId="1851" xr:uid="{00000000-0005-0000-0000-0000BA030000}"/>
    <cellStyle name="Normal 3 44" xfId="510" xr:uid="{00000000-0005-0000-0000-0000BB030000}"/>
    <cellStyle name="Normal 3 44 2" xfId="1852" xr:uid="{00000000-0005-0000-0000-0000BC030000}"/>
    <cellStyle name="Normal 3 45" xfId="511" xr:uid="{00000000-0005-0000-0000-0000BD030000}"/>
    <cellStyle name="Normal 3 45 2" xfId="1853" xr:uid="{00000000-0005-0000-0000-0000BE030000}"/>
    <cellStyle name="Normal 3 46" xfId="512" xr:uid="{00000000-0005-0000-0000-0000BF030000}"/>
    <cellStyle name="Normal 3 46 2" xfId="1854" xr:uid="{00000000-0005-0000-0000-0000C0030000}"/>
    <cellStyle name="Normal 3 47" xfId="513" xr:uid="{00000000-0005-0000-0000-0000C1030000}"/>
    <cellStyle name="Normal 3 47 2" xfId="1855" xr:uid="{00000000-0005-0000-0000-0000C2030000}"/>
    <cellStyle name="Normal 3 48" xfId="514" xr:uid="{00000000-0005-0000-0000-0000C3030000}"/>
    <cellStyle name="Normal 3 48 2" xfId="1856" xr:uid="{00000000-0005-0000-0000-0000C4030000}"/>
    <cellStyle name="Normal 3 49" xfId="515" xr:uid="{00000000-0005-0000-0000-0000C5030000}"/>
    <cellStyle name="Normal 3 49 2" xfId="1857" xr:uid="{00000000-0005-0000-0000-0000C6030000}"/>
    <cellStyle name="Normal 3 5" xfId="516" xr:uid="{00000000-0005-0000-0000-0000C7030000}"/>
    <cellStyle name="Normal 3 5 2" xfId="517" xr:uid="{00000000-0005-0000-0000-0000C8030000}"/>
    <cellStyle name="Normal 3 5 2 2" xfId="1366" xr:uid="{00000000-0005-0000-0000-0000C9030000}"/>
    <cellStyle name="Normal 3 5 3" xfId="1367" xr:uid="{00000000-0005-0000-0000-0000CA030000}"/>
    <cellStyle name="Normal 3 5 4" xfId="1858" xr:uid="{00000000-0005-0000-0000-0000CB030000}"/>
    <cellStyle name="Normal 3 50" xfId="518" xr:uid="{00000000-0005-0000-0000-0000CC030000}"/>
    <cellStyle name="Normal 3 50 2" xfId="1859" xr:uid="{00000000-0005-0000-0000-0000CD030000}"/>
    <cellStyle name="Normal 3 51" xfId="519" xr:uid="{00000000-0005-0000-0000-0000CE030000}"/>
    <cellStyle name="Normal 3 51 2" xfId="1860" xr:uid="{00000000-0005-0000-0000-0000CF030000}"/>
    <cellStyle name="Normal 3 52" xfId="520" xr:uid="{00000000-0005-0000-0000-0000D0030000}"/>
    <cellStyle name="Normal 3 52 2" xfId="1861" xr:uid="{00000000-0005-0000-0000-0000D1030000}"/>
    <cellStyle name="Normal 3 53" xfId="521" xr:uid="{00000000-0005-0000-0000-0000D2030000}"/>
    <cellStyle name="Normal 3 53 2" xfId="1862" xr:uid="{00000000-0005-0000-0000-0000D3030000}"/>
    <cellStyle name="Normal 3 54" xfId="522" xr:uid="{00000000-0005-0000-0000-0000D4030000}"/>
    <cellStyle name="Normal 3 54 2" xfId="1863" xr:uid="{00000000-0005-0000-0000-0000D5030000}"/>
    <cellStyle name="Normal 3 55" xfId="523" xr:uid="{00000000-0005-0000-0000-0000D6030000}"/>
    <cellStyle name="Normal 3 55 2" xfId="1864" xr:uid="{00000000-0005-0000-0000-0000D7030000}"/>
    <cellStyle name="Normal 3 56" xfId="524" xr:uid="{00000000-0005-0000-0000-0000D8030000}"/>
    <cellStyle name="Normal 3 56 2" xfId="1865" xr:uid="{00000000-0005-0000-0000-0000D9030000}"/>
    <cellStyle name="Normal 3 57" xfId="525" xr:uid="{00000000-0005-0000-0000-0000DA030000}"/>
    <cellStyle name="Normal 3 57 2" xfId="1866" xr:uid="{00000000-0005-0000-0000-0000DB030000}"/>
    <cellStyle name="Normal 3 58" xfId="526" xr:uid="{00000000-0005-0000-0000-0000DC030000}"/>
    <cellStyle name="Normal 3 58 2" xfId="1867" xr:uid="{00000000-0005-0000-0000-0000DD030000}"/>
    <cellStyle name="Normal 3 59" xfId="527" xr:uid="{00000000-0005-0000-0000-0000DE030000}"/>
    <cellStyle name="Normal 3 59 2" xfId="1868" xr:uid="{00000000-0005-0000-0000-0000DF030000}"/>
    <cellStyle name="Normal 3 6" xfId="528" xr:uid="{00000000-0005-0000-0000-0000E0030000}"/>
    <cellStyle name="Normal 3 6 2" xfId="529" xr:uid="{00000000-0005-0000-0000-0000E1030000}"/>
    <cellStyle name="Normal 3 6 2 2" xfId="1368" xr:uid="{00000000-0005-0000-0000-0000E2030000}"/>
    <cellStyle name="Normal 3 6 3" xfId="949" xr:uid="{00000000-0005-0000-0000-0000E3030000}"/>
    <cellStyle name="Normal 3 6 3 2" xfId="1757" xr:uid="{00000000-0005-0000-0000-0000E4030000}"/>
    <cellStyle name="Normal 3 6 3 2 2" xfId="2026" xr:uid="{00000000-0005-0000-0000-0000E5030000}"/>
    <cellStyle name="Normal 3 6 3 3" xfId="1959" xr:uid="{00000000-0005-0000-0000-0000E6030000}"/>
    <cellStyle name="Normal 3 6 4" xfId="1369" xr:uid="{00000000-0005-0000-0000-0000E7030000}"/>
    <cellStyle name="Normal 3 6 4 2" xfId="1764" xr:uid="{00000000-0005-0000-0000-0000E8030000}"/>
    <cellStyle name="Normal 3 6 4 2 2" xfId="2033" xr:uid="{00000000-0005-0000-0000-0000E9030000}"/>
    <cellStyle name="Normal 3 6 4 3" xfId="2004" xr:uid="{00000000-0005-0000-0000-0000EA030000}"/>
    <cellStyle name="Normal 3 6 5" xfId="1747" xr:uid="{00000000-0005-0000-0000-0000EB030000}"/>
    <cellStyle name="Normal 3 6 5 2" xfId="2016" xr:uid="{00000000-0005-0000-0000-0000EC030000}"/>
    <cellStyle name="Normal 3 6 6" xfId="1869" xr:uid="{00000000-0005-0000-0000-0000ED030000}"/>
    <cellStyle name="Normal 3 60" xfId="530" xr:uid="{00000000-0005-0000-0000-0000EE030000}"/>
    <cellStyle name="Normal 3 60 2" xfId="1870" xr:uid="{00000000-0005-0000-0000-0000EF030000}"/>
    <cellStyle name="Normal 3 61" xfId="531" xr:uid="{00000000-0005-0000-0000-0000F0030000}"/>
    <cellStyle name="Normal 3 61 2" xfId="1871" xr:uid="{00000000-0005-0000-0000-0000F1030000}"/>
    <cellStyle name="Normal 3 62" xfId="532" xr:uid="{00000000-0005-0000-0000-0000F2030000}"/>
    <cellStyle name="Normal 3 62 2" xfId="1872" xr:uid="{00000000-0005-0000-0000-0000F3030000}"/>
    <cellStyle name="Normal 3 63" xfId="533" xr:uid="{00000000-0005-0000-0000-0000F4030000}"/>
    <cellStyle name="Normal 3 63 2" xfId="1873" xr:uid="{00000000-0005-0000-0000-0000F5030000}"/>
    <cellStyle name="Normal 3 64" xfId="534" xr:uid="{00000000-0005-0000-0000-0000F6030000}"/>
    <cellStyle name="Normal 3 64 2" xfId="1874" xr:uid="{00000000-0005-0000-0000-0000F7030000}"/>
    <cellStyle name="Normal 3 65" xfId="535" xr:uid="{00000000-0005-0000-0000-0000F8030000}"/>
    <cellStyle name="Normal 3 65 2" xfId="1875" xr:uid="{00000000-0005-0000-0000-0000F9030000}"/>
    <cellStyle name="Normal 3 66" xfId="536" xr:uid="{00000000-0005-0000-0000-0000FA030000}"/>
    <cellStyle name="Normal 3 66 2" xfId="1876" xr:uid="{00000000-0005-0000-0000-0000FB030000}"/>
    <cellStyle name="Normal 3 67" xfId="537" xr:uid="{00000000-0005-0000-0000-0000FC030000}"/>
    <cellStyle name="Normal 3 67 2" xfId="1877" xr:uid="{00000000-0005-0000-0000-0000FD030000}"/>
    <cellStyle name="Normal 3 68" xfId="538" xr:uid="{00000000-0005-0000-0000-0000FE030000}"/>
    <cellStyle name="Normal 3 68 2" xfId="1878" xr:uid="{00000000-0005-0000-0000-0000FF030000}"/>
    <cellStyle name="Normal 3 69" xfId="539" xr:uid="{00000000-0005-0000-0000-000000040000}"/>
    <cellStyle name="Normal 3 69 2" xfId="1879" xr:uid="{00000000-0005-0000-0000-000001040000}"/>
    <cellStyle name="Normal 3 7" xfId="540" xr:uid="{00000000-0005-0000-0000-000002040000}"/>
    <cellStyle name="Normal 3 7 2" xfId="1370" xr:uid="{00000000-0005-0000-0000-000003040000}"/>
    <cellStyle name="Normal 3 70" xfId="541" xr:uid="{00000000-0005-0000-0000-000004040000}"/>
    <cellStyle name="Normal 3 70 2" xfId="1880" xr:uid="{00000000-0005-0000-0000-000005040000}"/>
    <cellStyle name="Normal 3 71" xfId="542" xr:uid="{00000000-0005-0000-0000-000006040000}"/>
    <cellStyle name="Normal 3 71 2" xfId="1881" xr:uid="{00000000-0005-0000-0000-000007040000}"/>
    <cellStyle name="Normal 3 72" xfId="543" xr:uid="{00000000-0005-0000-0000-000008040000}"/>
    <cellStyle name="Normal 3 72 2" xfId="1882" xr:uid="{00000000-0005-0000-0000-000009040000}"/>
    <cellStyle name="Normal 3 73" xfId="544" xr:uid="{00000000-0005-0000-0000-00000A040000}"/>
    <cellStyle name="Normal 3 73 2" xfId="1883" xr:uid="{00000000-0005-0000-0000-00000B040000}"/>
    <cellStyle name="Normal 3 74" xfId="545" xr:uid="{00000000-0005-0000-0000-00000C040000}"/>
    <cellStyle name="Normal 3 74 2" xfId="1884" xr:uid="{00000000-0005-0000-0000-00000D040000}"/>
    <cellStyle name="Normal 3 75" xfId="546" xr:uid="{00000000-0005-0000-0000-00000E040000}"/>
    <cellStyle name="Normal 3 75 2" xfId="1885" xr:uid="{00000000-0005-0000-0000-00000F040000}"/>
    <cellStyle name="Normal 3 76" xfId="547" xr:uid="{00000000-0005-0000-0000-000010040000}"/>
    <cellStyle name="Normal 3 76 2" xfId="1886" xr:uid="{00000000-0005-0000-0000-000011040000}"/>
    <cellStyle name="Normal 3 77" xfId="548" xr:uid="{00000000-0005-0000-0000-000012040000}"/>
    <cellStyle name="Normal 3 77 2" xfId="1887" xr:uid="{00000000-0005-0000-0000-000013040000}"/>
    <cellStyle name="Normal 3 78" xfId="549" xr:uid="{00000000-0005-0000-0000-000014040000}"/>
    <cellStyle name="Normal 3 78 2" xfId="1888" xr:uid="{00000000-0005-0000-0000-000015040000}"/>
    <cellStyle name="Normal 3 79" xfId="550" xr:uid="{00000000-0005-0000-0000-000016040000}"/>
    <cellStyle name="Normal 3 79 2" xfId="1889" xr:uid="{00000000-0005-0000-0000-000017040000}"/>
    <cellStyle name="Normal 3 8" xfId="551" xr:uid="{00000000-0005-0000-0000-000018040000}"/>
    <cellStyle name="Normal 3 8 2" xfId="1371" xr:uid="{00000000-0005-0000-0000-000019040000}"/>
    <cellStyle name="Normal 3 80" xfId="552" xr:uid="{00000000-0005-0000-0000-00001A040000}"/>
    <cellStyle name="Normal 3 80 2" xfId="1890" xr:uid="{00000000-0005-0000-0000-00001B040000}"/>
    <cellStyle name="Normal 3 81" xfId="553" xr:uid="{00000000-0005-0000-0000-00001C040000}"/>
    <cellStyle name="Normal 3 81 2" xfId="1891" xr:uid="{00000000-0005-0000-0000-00001D040000}"/>
    <cellStyle name="Normal 3 82" xfId="554" xr:uid="{00000000-0005-0000-0000-00001E040000}"/>
    <cellStyle name="Normal 3 82 2" xfId="1892" xr:uid="{00000000-0005-0000-0000-00001F040000}"/>
    <cellStyle name="Normal 3 83" xfId="555" xr:uid="{00000000-0005-0000-0000-000020040000}"/>
    <cellStyle name="Normal 3 83 2" xfId="1893" xr:uid="{00000000-0005-0000-0000-000021040000}"/>
    <cellStyle name="Normal 3 84" xfId="556" xr:uid="{00000000-0005-0000-0000-000022040000}"/>
    <cellStyle name="Normal 3 84 2" xfId="1894" xr:uid="{00000000-0005-0000-0000-000023040000}"/>
    <cellStyle name="Normal 3 85" xfId="557" xr:uid="{00000000-0005-0000-0000-000024040000}"/>
    <cellStyle name="Normal 3 85 2" xfId="1895" xr:uid="{00000000-0005-0000-0000-000025040000}"/>
    <cellStyle name="Normal 3 86" xfId="558" xr:uid="{00000000-0005-0000-0000-000026040000}"/>
    <cellStyle name="Normal 3 86 2" xfId="1896" xr:uid="{00000000-0005-0000-0000-000027040000}"/>
    <cellStyle name="Normal 3 87" xfId="559" xr:uid="{00000000-0005-0000-0000-000028040000}"/>
    <cellStyle name="Normal 3 87 2" xfId="1897" xr:uid="{00000000-0005-0000-0000-000029040000}"/>
    <cellStyle name="Normal 3 88" xfId="560" xr:uid="{00000000-0005-0000-0000-00002A040000}"/>
    <cellStyle name="Normal 3 88 2" xfId="1898" xr:uid="{00000000-0005-0000-0000-00002B040000}"/>
    <cellStyle name="Normal 3 89" xfId="561" xr:uid="{00000000-0005-0000-0000-00002C040000}"/>
    <cellStyle name="Normal 3 89 2" xfId="1899" xr:uid="{00000000-0005-0000-0000-00002D040000}"/>
    <cellStyle name="Normal 3 9" xfId="562" xr:uid="{00000000-0005-0000-0000-00002E040000}"/>
    <cellStyle name="Normal 3 9 2" xfId="1372" xr:uid="{00000000-0005-0000-0000-00002F040000}"/>
    <cellStyle name="Normal 3 90" xfId="563" xr:uid="{00000000-0005-0000-0000-000030040000}"/>
    <cellStyle name="Normal 3 90 2" xfId="1900" xr:uid="{00000000-0005-0000-0000-000031040000}"/>
    <cellStyle name="Normal 3 91" xfId="564" xr:uid="{00000000-0005-0000-0000-000032040000}"/>
    <cellStyle name="Normal 3 91 2" xfId="950" xr:uid="{00000000-0005-0000-0000-000033040000}"/>
    <cellStyle name="Normal 3 91 2 2" xfId="1758" xr:uid="{00000000-0005-0000-0000-000034040000}"/>
    <cellStyle name="Normal 3 91 2 2 2" xfId="2027" xr:uid="{00000000-0005-0000-0000-000035040000}"/>
    <cellStyle name="Normal 3 91 2 3" xfId="1960" xr:uid="{00000000-0005-0000-0000-000036040000}"/>
    <cellStyle name="Normal 3 91 3" xfId="1748" xr:uid="{00000000-0005-0000-0000-000037040000}"/>
    <cellStyle name="Normal 3 91 3 2" xfId="2017" xr:uid="{00000000-0005-0000-0000-000038040000}"/>
    <cellStyle name="Normal 3 91 4" xfId="1901" xr:uid="{00000000-0005-0000-0000-000039040000}"/>
    <cellStyle name="Normal 3 92" xfId="565" xr:uid="{00000000-0005-0000-0000-00003A040000}"/>
    <cellStyle name="Normal 3 92 2" xfId="951" xr:uid="{00000000-0005-0000-0000-00003B040000}"/>
    <cellStyle name="Normal 3 92 2 2" xfId="1759" xr:uid="{00000000-0005-0000-0000-00003C040000}"/>
    <cellStyle name="Normal 3 92 2 2 2" xfId="2028" xr:uid="{00000000-0005-0000-0000-00003D040000}"/>
    <cellStyle name="Normal 3 92 2 3" xfId="1961" xr:uid="{00000000-0005-0000-0000-00003E040000}"/>
    <cellStyle name="Normal 3 92 3" xfId="1749" xr:uid="{00000000-0005-0000-0000-00003F040000}"/>
    <cellStyle name="Normal 3 92 3 2" xfId="2018" xr:uid="{00000000-0005-0000-0000-000040040000}"/>
    <cellStyle name="Normal 3 92 4" xfId="1902" xr:uid="{00000000-0005-0000-0000-000041040000}"/>
    <cellStyle name="Normal 3 93" xfId="947" xr:uid="{00000000-0005-0000-0000-000042040000}"/>
    <cellStyle name="Normal 3 93 2" xfId="1373" xr:uid="{00000000-0005-0000-0000-000043040000}"/>
    <cellStyle name="Normal 3 93 2 2" xfId="1765" xr:uid="{00000000-0005-0000-0000-000044040000}"/>
    <cellStyle name="Normal 3 93 2 2 2" xfId="2034" xr:uid="{00000000-0005-0000-0000-000045040000}"/>
    <cellStyle name="Normal 3 93 2 3" xfId="2005" xr:uid="{00000000-0005-0000-0000-000046040000}"/>
    <cellStyle name="Normal 3 93 3" xfId="1756" xr:uid="{00000000-0005-0000-0000-000047040000}"/>
    <cellStyle name="Normal 3 93 3 2" xfId="2025" xr:uid="{00000000-0005-0000-0000-000048040000}"/>
    <cellStyle name="Normal 3 93 4" xfId="1957" xr:uid="{00000000-0005-0000-0000-000049040000}"/>
    <cellStyle name="Normal 3 94" xfId="1374" xr:uid="{00000000-0005-0000-0000-00004A040000}"/>
    <cellStyle name="Normal 3 94 2" xfId="1766" xr:uid="{00000000-0005-0000-0000-00004B040000}"/>
    <cellStyle name="Normal 3 94 2 2" xfId="2035" xr:uid="{00000000-0005-0000-0000-00004C040000}"/>
    <cellStyle name="Normal 3 94 3" xfId="2006" xr:uid="{00000000-0005-0000-0000-00004D040000}"/>
    <cellStyle name="Normal 3 95" xfId="1741" xr:uid="{00000000-0005-0000-0000-00004E040000}"/>
    <cellStyle name="Normal 3 95 2" xfId="2010" xr:uid="{00000000-0005-0000-0000-00004F040000}"/>
    <cellStyle name="Normal 3 96" xfId="107" xr:uid="{00000000-0005-0000-0000-000050040000}"/>
    <cellStyle name="Normal 3 96 2" xfId="1811" xr:uid="{00000000-0005-0000-0000-000051040000}"/>
    <cellStyle name="Normal 3 97" xfId="1783" xr:uid="{00000000-0005-0000-0000-000052040000}"/>
    <cellStyle name="Normal 3_EQT Corporate Wide GHG Calcs_20090729" xfId="566" xr:uid="{00000000-0005-0000-0000-000053040000}"/>
    <cellStyle name="Normal 30" xfId="152" xr:uid="{00000000-0005-0000-0000-000054040000}"/>
    <cellStyle name="Normal 31" xfId="567" xr:uid="{00000000-0005-0000-0000-000055040000}"/>
    <cellStyle name="Normal 31 2" xfId="1375" xr:uid="{00000000-0005-0000-0000-000056040000}"/>
    <cellStyle name="Normal 32" xfId="568" xr:uid="{00000000-0005-0000-0000-000057040000}"/>
    <cellStyle name="Normal 32 2" xfId="1376" xr:uid="{00000000-0005-0000-0000-000058040000}"/>
    <cellStyle name="Normal 33" xfId="569" xr:uid="{00000000-0005-0000-0000-000059040000}"/>
    <cellStyle name="Normal 33 2" xfId="1377" xr:uid="{00000000-0005-0000-0000-00005A040000}"/>
    <cellStyle name="Normal 34" xfId="147" xr:uid="{00000000-0005-0000-0000-00005B040000}"/>
    <cellStyle name="Normal 35" xfId="148" xr:uid="{00000000-0005-0000-0000-00005C040000}"/>
    <cellStyle name="Normal 36" xfId="149" xr:uid="{00000000-0005-0000-0000-00005D040000}"/>
    <cellStyle name="Normal 37" xfId="570" xr:uid="{00000000-0005-0000-0000-00005E040000}"/>
    <cellStyle name="Normal 38" xfId="150" xr:uid="{00000000-0005-0000-0000-00005F040000}"/>
    <cellStyle name="Normal 39" xfId="151" xr:uid="{00000000-0005-0000-0000-000060040000}"/>
    <cellStyle name="Normal 4" xfId="4" xr:uid="{00000000-0005-0000-0000-000061040000}"/>
    <cellStyle name="Normal 4 2" xfId="13" xr:uid="{00000000-0005-0000-0000-000062040000}"/>
    <cellStyle name="Normal 4 2 2" xfId="18" xr:uid="{00000000-0005-0000-0000-000063040000}"/>
    <cellStyle name="Normal 4 2 2 2" xfId="1793" xr:uid="{00000000-0005-0000-0000-000064040000}"/>
    <cellStyle name="Normal 4 2 3" xfId="1378" xr:uid="{00000000-0005-0000-0000-000065040000}"/>
    <cellStyle name="Normal 4 2 4" xfId="1789" xr:uid="{00000000-0005-0000-0000-000066040000}"/>
    <cellStyle name="Normal 4 2 5" xfId="2053" xr:uid="{6B4A3632-2709-4358-9668-ACED68004402}"/>
    <cellStyle name="Normal 4 3" xfId="17" xr:uid="{00000000-0005-0000-0000-000067040000}"/>
    <cellStyle name="Normal 4 3 2" xfId="1774" xr:uid="{00000000-0005-0000-0000-000068040000}"/>
    <cellStyle name="Normal 4 3 3" xfId="1792" xr:uid="{00000000-0005-0000-0000-000069040000}"/>
    <cellStyle name="Normal 4 4" xfId="24" xr:uid="{00000000-0005-0000-0000-00006A040000}"/>
    <cellStyle name="Normal 4 4 2" xfId="1799" xr:uid="{00000000-0005-0000-0000-00006B040000}"/>
    <cellStyle name="Normal 4 5" xfId="109" xr:uid="{00000000-0005-0000-0000-00006C040000}"/>
    <cellStyle name="Normal 4 6" xfId="1784" xr:uid="{00000000-0005-0000-0000-00006D040000}"/>
    <cellStyle name="Normal 40" xfId="153" xr:uid="{00000000-0005-0000-0000-00006E040000}"/>
    <cellStyle name="Normal 41" xfId="154" xr:uid="{00000000-0005-0000-0000-00006F040000}"/>
    <cellStyle name="Normal 42" xfId="155" xr:uid="{00000000-0005-0000-0000-000070040000}"/>
    <cellStyle name="Normal 43" xfId="571" xr:uid="{00000000-0005-0000-0000-000071040000}"/>
    <cellStyle name="Normal 44" xfId="156" xr:uid="{00000000-0005-0000-0000-000072040000}"/>
    <cellStyle name="Normal 45" xfId="932" xr:uid="{00000000-0005-0000-0000-000073040000}"/>
    <cellStyle name="Normal 45 2" xfId="1379" xr:uid="{00000000-0005-0000-0000-000074040000}"/>
    <cellStyle name="Normal 45 3" xfId="1942" xr:uid="{00000000-0005-0000-0000-000075040000}"/>
    <cellStyle name="Normal 46" xfId="572" xr:uid="{00000000-0005-0000-0000-000076040000}"/>
    <cellStyle name="Normal 46 2" xfId="952" xr:uid="{00000000-0005-0000-0000-000077040000}"/>
    <cellStyle name="Normal 46 2 2" xfId="1760" xr:uid="{00000000-0005-0000-0000-000078040000}"/>
    <cellStyle name="Normal 46 2 2 2" xfId="2029" xr:uid="{00000000-0005-0000-0000-000079040000}"/>
    <cellStyle name="Normal 46 2 3" xfId="1962" xr:uid="{00000000-0005-0000-0000-00007A040000}"/>
    <cellStyle name="Normal 46 3" xfId="1750" xr:uid="{00000000-0005-0000-0000-00007B040000}"/>
    <cellStyle name="Normal 46 3 2" xfId="2019" xr:uid="{00000000-0005-0000-0000-00007C040000}"/>
    <cellStyle name="Normal 46 4" xfId="1903" xr:uid="{00000000-0005-0000-0000-00007D040000}"/>
    <cellStyle name="Normal 47" xfId="573" xr:uid="{00000000-0005-0000-0000-00007E040000}"/>
    <cellStyle name="Normal 48" xfId="953" xr:uid="{00000000-0005-0000-0000-00007F040000}"/>
    <cellStyle name="Normal 48 2" xfId="1963" xr:uid="{00000000-0005-0000-0000-000080040000}"/>
    <cellStyle name="Normal 49" xfId="973" xr:uid="{00000000-0005-0000-0000-000081040000}"/>
    <cellStyle name="Normal 49 2" xfId="1983" xr:uid="{00000000-0005-0000-0000-000082040000}"/>
    <cellStyle name="Normal 5" xfId="5" xr:uid="{00000000-0005-0000-0000-000083040000}"/>
    <cellStyle name="Normal 5 10" xfId="574" xr:uid="{00000000-0005-0000-0000-000084040000}"/>
    <cellStyle name="Normal 5 10 2" xfId="1380" xr:uid="{00000000-0005-0000-0000-000085040000}"/>
    <cellStyle name="Normal 5 11" xfId="575" xr:uid="{00000000-0005-0000-0000-000086040000}"/>
    <cellStyle name="Normal 5 11 2" xfId="1381" xr:uid="{00000000-0005-0000-0000-000087040000}"/>
    <cellStyle name="Normal 5 12" xfId="576" xr:uid="{00000000-0005-0000-0000-000088040000}"/>
    <cellStyle name="Normal 5 12 2" xfId="1382" xr:uid="{00000000-0005-0000-0000-000089040000}"/>
    <cellStyle name="Normal 5 13" xfId="577" xr:uid="{00000000-0005-0000-0000-00008A040000}"/>
    <cellStyle name="Normal 5 13 2" xfId="1383" xr:uid="{00000000-0005-0000-0000-00008B040000}"/>
    <cellStyle name="Normal 5 14" xfId="578" xr:uid="{00000000-0005-0000-0000-00008C040000}"/>
    <cellStyle name="Normal 5 14 2" xfId="1384" xr:uid="{00000000-0005-0000-0000-00008D040000}"/>
    <cellStyle name="Normal 5 15" xfId="579" xr:uid="{00000000-0005-0000-0000-00008E040000}"/>
    <cellStyle name="Normal 5 15 2" xfId="1385" xr:uid="{00000000-0005-0000-0000-00008F040000}"/>
    <cellStyle name="Normal 5 16" xfId="580" xr:uid="{00000000-0005-0000-0000-000090040000}"/>
    <cellStyle name="Normal 5 16 2" xfId="1386" xr:uid="{00000000-0005-0000-0000-000091040000}"/>
    <cellStyle name="Normal 5 17" xfId="581" xr:uid="{00000000-0005-0000-0000-000092040000}"/>
    <cellStyle name="Normal 5 17 2" xfId="1387" xr:uid="{00000000-0005-0000-0000-000093040000}"/>
    <cellStyle name="Normal 5 18" xfId="582" xr:uid="{00000000-0005-0000-0000-000094040000}"/>
    <cellStyle name="Normal 5 18 2" xfId="1388" xr:uid="{00000000-0005-0000-0000-000095040000}"/>
    <cellStyle name="Normal 5 19" xfId="583" xr:uid="{00000000-0005-0000-0000-000096040000}"/>
    <cellStyle name="Normal 5 19 2" xfId="1389" xr:uid="{00000000-0005-0000-0000-000097040000}"/>
    <cellStyle name="Normal 5 2" xfId="15" xr:uid="{00000000-0005-0000-0000-000098040000}"/>
    <cellStyle name="Normal 5 2 2" xfId="1390" xr:uid="{00000000-0005-0000-0000-000099040000}"/>
    <cellStyle name="Normal 5 20" xfId="584" xr:uid="{00000000-0005-0000-0000-00009A040000}"/>
    <cellStyle name="Normal 5 20 2" xfId="1391" xr:uid="{00000000-0005-0000-0000-00009B040000}"/>
    <cellStyle name="Normal 5 21" xfId="585" xr:uid="{00000000-0005-0000-0000-00009C040000}"/>
    <cellStyle name="Normal 5 21 2" xfId="1392" xr:uid="{00000000-0005-0000-0000-00009D040000}"/>
    <cellStyle name="Normal 5 22" xfId="586" xr:uid="{00000000-0005-0000-0000-00009E040000}"/>
    <cellStyle name="Normal 5 22 2" xfId="1393" xr:uid="{00000000-0005-0000-0000-00009F040000}"/>
    <cellStyle name="Normal 5 23" xfId="587" xr:uid="{00000000-0005-0000-0000-0000A0040000}"/>
    <cellStyle name="Normal 5 23 2" xfId="1394" xr:uid="{00000000-0005-0000-0000-0000A1040000}"/>
    <cellStyle name="Normal 5 24" xfId="588" xr:uid="{00000000-0005-0000-0000-0000A2040000}"/>
    <cellStyle name="Normal 5 24 2" xfId="1395" xr:uid="{00000000-0005-0000-0000-0000A3040000}"/>
    <cellStyle name="Normal 5 25" xfId="589" xr:uid="{00000000-0005-0000-0000-0000A4040000}"/>
    <cellStyle name="Normal 5 25 2" xfId="1396" xr:uid="{00000000-0005-0000-0000-0000A5040000}"/>
    <cellStyle name="Normal 5 26" xfId="590" xr:uid="{00000000-0005-0000-0000-0000A6040000}"/>
    <cellStyle name="Normal 5 26 2" xfId="1397" xr:uid="{00000000-0005-0000-0000-0000A7040000}"/>
    <cellStyle name="Normal 5 27" xfId="591" xr:uid="{00000000-0005-0000-0000-0000A8040000}"/>
    <cellStyle name="Normal 5 27 2" xfId="1398" xr:uid="{00000000-0005-0000-0000-0000A9040000}"/>
    <cellStyle name="Normal 5 28" xfId="592" xr:uid="{00000000-0005-0000-0000-0000AA040000}"/>
    <cellStyle name="Normal 5 28 2" xfId="1399" xr:uid="{00000000-0005-0000-0000-0000AB040000}"/>
    <cellStyle name="Normal 5 29" xfId="593" xr:uid="{00000000-0005-0000-0000-0000AC040000}"/>
    <cellStyle name="Normal 5 29 2" xfId="1400" xr:uid="{00000000-0005-0000-0000-0000AD040000}"/>
    <cellStyle name="Normal 5 3" xfId="594" xr:uid="{00000000-0005-0000-0000-0000AE040000}"/>
    <cellStyle name="Normal 5 3 2" xfId="1401" xr:uid="{00000000-0005-0000-0000-0000AF040000}"/>
    <cellStyle name="Normal 5 30" xfId="595" xr:uid="{00000000-0005-0000-0000-0000B0040000}"/>
    <cellStyle name="Normal 5 30 2" xfId="1402" xr:uid="{00000000-0005-0000-0000-0000B1040000}"/>
    <cellStyle name="Normal 5 31" xfId="596" xr:uid="{00000000-0005-0000-0000-0000B2040000}"/>
    <cellStyle name="Normal 5 31 2" xfId="1403" xr:uid="{00000000-0005-0000-0000-0000B3040000}"/>
    <cellStyle name="Normal 5 32" xfId="597" xr:uid="{00000000-0005-0000-0000-0000B4040000}"/>
    <cellStyle name="Normal 5 32 2" xfId="1404" xr:uid="{00000000-0005-0000-0000-0000B5040000}"/>
    <cellStyle name="Normal 5 33" xfId="598" xr:uid="{00000000-0005-0000-0000-0000B6040000}"/>
    <cellStyle name="Normal 5 33 2" xfId="1405" xr:uid="{00000000-0005-0000-0000-0000B7040000}"/>
    <cellStyle name="Normal 5 34" xfId="599" xr:uid="{00000000-0005-0000-0000-0000B8040000}"/>
    <cellStyle name="Normal 5 34 2" xfId="1406" xr:uid="{00000000-0005-0000-0000-0000B9040000}"/>
    <cellStyle name="Normal 5 35" xfId="600" xr:uid="{00000000-0005-0000-0000-0000BA040000}"/>
    <cellStyle name="Normal 5 35 2" xfId="1904" xr:uid="{00000000-0005-0000-0000-0000BB040000}"/>
    <cellStyle name="Normal 5 36" xfId="1407" xr:uid="{00000000-0005-0000-0000-0000BC040000}"/>
    <cellStyle name="Normal 5 4" xfId="601" xr:uid="{00000000-0005-0000-0000-0000BD040000}"/>
    <cellStyle name="Normal 5 4 2" xfId="1408" xr:uid="{00000000-0005-0000-0000-0000BE040000}"/>
    <cellStyle name="Normal 5 5" xfId="602" xr:uid="{00000000-0005-0000-0000-0000BF040000}"/>
    <cellStyle name="Normal 5 5 2" xfId="1409" xr:uid="{00000000-0005-0000-0000-0000C0040000}"/>
    <cellStyle name="Normal 5 6" xfId="603" xr:uid="{00000000-0005-0000-0000-0000C1040000}"/>
    <cellStyle name="Normal 5 6 2" xfId="1410" xr:uid="{00000000-0005-0000-0000-0000C2040000}"/>
    <cellStyle name="Normal 5 7" xfId="604" xr:uid="{00000000-0005-0000-0000-0000C3040000}"/>
    <cellStyle name="Normal 5 7 2" xfId="1411" xr:uid="{00000000-0005-0000-0000-0000C4040000}"/>
    <cellStyle name="Normal 5 8" xfId="605" xr:uid="{00000000-0005-0000-0000-0000C5040000}"/>
    <cellStyle name="Normal 5 8 2" xfId="1412" xr:uid="{00000000-0005-0000-0000-0000C6040000}"/>
    <cellStyle name="Normal 5 9" xfId="606" xr:uid="{00000000-0005-0000-0000-0000C7040000}"/>
    <cellStyle name="Normal 5 9 2" xfId="1413" xr:uid="{00000000-0005-0000-0000-0000C8040000}"/>
    <cellStyle name="Normal 50" xfId="974" xr:uid="{00000000-0005-0000-0000-0000C9040000}"/>
    <cellStyle name="Normal 50 2" xfId="1984" xr:uid="{00000000-0005-0000-0000-0000CA040000}"/>
    <cellStyle name="Normal 51" xfId="975" xr:uid="{00000000-0005-0000-0000-0000CB040000}"/>
    <cellStyle name="Normal 51 2" xfId="1985" xr:uid="{00000000-0005-0000-0000-0000CC040000}"/>
    <cellStyle name="Normal 52" xfId="1414" xr:uid="{00000000-0005-0000-0000-0000CD040000}"/>
    <cellStyle name="Normal 53" xfId="1415" xr:uid="{00000000-0005-0000-0000-0000CE040000}"/>
    <cellStyle name="Normal 54" xfId="1416" xr:uid="{00000000-0005-0000-0000-0000CF040000}"/>
    <cellStyle name="Normal 55" xfId="1417" xr:uid="{00000000-0005-0000-0000-0000D0040000}"/>
    <cellStyle name="Normal 56" xfId="1418" xr:uid="{00000000-0005-0000-0000-0000D1040000}"/>
    <cellStyle name="Normal 56 2" xfId="1767" xr:uid="{00000000-0005-0000-0000-0000D2040000}"/>
    <cellStyle name="Normal 56 2 2" xfId="2036" xr:uid="{00000000-0005-0000-0000-0000D3040000}"/>
    <cellStyle name="Normal 56 3" xfId="2007" xr:uid="{00000000-0005-0000-0000-0000D4040000}"/>
    <cellStyle name="Normal 57" xfId="1419" xr:uid="{00000000-0005-0000-0000-0000D5040000}"/>
    <cellStyle name="Normal 58" xfId="1420" xr:uid="{00000000-0005-0000-0000-0000D6040000}"/>
    <cellStyle name="Normal 59" xfId="1421" xr:uid="{00000000-0005-0000-0000-0000D7040000}"/>
    <cellStyle name="Normal 6" xfId="9" xr:uid="{00000000-0005-0000-0000-0000D8040000}"/>
    <cellStyle name="Normal 6 10" xfId="607" xr:uid="{00000000-0005-0000-0000-0000D9040000}"/>
    <cellStyle name="Normal 6 10 2" xfId="1422" xr:uid="{00000000-0005-0000-0000-0000DA040000}"/>
    <cellStyle name="Normal 6 11" xfId="608" xr:uid="{00000000-0005-0000-0000-0000DB040000}"/>
    <cellStyle name="Normal 6 11 2" xfId="1423" xr:uid="{00000000-0005-0000-0000-0000DC040000}"/>
    <cellStyle name="Normal 6 12" xfId="609" xr:uid="{00000000-0005-0000-0000-0000DD040000}"/>
    <cellStyle name="Normal 6 12 2" xfId="1424" xr:uid="{00000000-0005-0000-0000-0000DE040000}"/>
    <cellStyle name="Normal 6 13" xfId="610" xr:uid="{00000000-0005-0000-0000-0000DF040000}"/>
    <cellStyle name="Normal 6 13 2" xfId="1425" xr:uid="{00000000-0005-0000-0000-0000E0040000}"/>
    <cellStyle name="Normal 6 14" xfId="611" xr:uid="{00000000-0005-0000-0000-0000E1040000}"/>
    <cellStyle name="Normal 6 14 2" xfId="1426" xr:uid="{00000000-0005-0000-0000-0000E2040000}"/>
    <cellStyle name="Normal 6 15" xfId="612" xr:uid="{00000000-0005-0000-0000-0000E3040000}"/>
    <cellStyle name="Normal 6 15 2" xfId="1427" xr:uid="{00000000-0005-0000-0000-0000E4040000}"/>
    <cellStyle name="Normal 6 16" xfId="613" xr:uid="{00000000-0005-0000-0000-0000E5040000}"/>
    <cellStyle name="Normal 6 16 2" xfId="1428" xr:uid="{00000000-0005-0000-0000-0000E6040000}"/>
    <cellStyle name="Normal 6 17" xfId="614" xr:uid="{00000000-0005-0000-0000-0000E7040000}"/>
    <cellStyle name="Normal 6 17 2" xfId="1429" xr:uid="{00000000-0005-0000-0000-0000E8040000}"/>
    <cellStyle name="Normal 6 18" xfId="615" xr:uid="{00000000-0005-0000-0000-0000E9040000}"/>
    <cellStyle name="Normal 6 18 2" xfId="1430" xr:uid="{00000000-0005-0000-0000-0000EA040000}"/>
    <cellStyle name="Normal 6 19" xfId="616" xr:uid="{00000000-0005-0000-0000-0000EB040000}"/>
    <cellStyle name="Normal 6 19 2" xfId="1431" xr:uid="{00000000-0005-0000-0000-0000EC040000}"/>
    <cellStyle name="Normal 6 2" xfId="21" xr:uid="{00000000-0005-0000-0000-0000ED040000}"/>
    <cellStyle name="Normal 6 2 2" xfId="617" xr:uid="{00000000-0005-0000-0000-0000EE040000}"/>
    <cellStyle name="Normal 6 2 2 2" xfId="1432" xr:uid="{00000000-0005-0000-0000-0000EF040000}"/>
    <cellStyle name="Normal 6 2 3" xfId="954" xr:uid="{00000000-0005-0000-0000-0000F0040000}"/>
    <cellStyle name="Normal 6 2 3 2" xfId="1964" xr:uid="{00000000-0005-0000-0000-0000F1040000}"/>
    <cellStyle name="Normal 6 2 4" xfId="111" xr:uid="{00000000-0005-0000-0000-0000F2040000}"/>
    <cellStyle name="Normal 6 2 4 2" xfId="1813" xr:uid="{00000000-0005-0000-0000-0000F3040000}"/>
    <cellStyle name="Normal 6 2 5" xfId="1796" xr:uid="{00000000-0005-0000-0000-0000F4040000}"/>
    <cellStyle name="Normal 6 20" xfId="618" xr:uid="{00000000-0005-0000-0000-0000F5040000}"/>
    <cellStyle name="Normal 6 20 2" xfId="1433" xr:uid="{00000000-0005-0000-0000-0000F6040000}"/>
    <cellStyle name="Normal 6 21" xfId="619" xr:uid="{00000000-0005-0000-0000-0000F7040000}"/>
    <cellStyle name="Normal 6 21 2" xfId="1434" xr:uid="{00000000-0005-0000-0000-0000F8040000}"/>
    <cellStyle name="Normal 6 22" xfId="620" xr:uid="{00000000-0005-0000-0000-0000F9040000}"/>
    <cellStyle name="Normal 6 22 2" xfId="1435" xr:uid="{00000000-0005-0000-0000-0000FA040000}"/>
    <cellStyle name="Normal 6 23" xfId="621" xr:uid="{00000000-0005-0000-0000-0000FB040000}"/>
    <cellStyle name="Normal 6 23 2" xfId="1436" xr:uid="{00000000-0005-0000-0000-0000FC040000}"/>
    <cellStyle name="Normal 6 24" xfId="622" xr:uid="{00000000-0005-0000-0000-0000FD040000}"/>
    <cellStyle name="Normal 6 24 2" xfId="1437" xr:uid="{00000000-0005-0000-0000-0000FE040000}"/>
    <cellStyle name="Normal 6 25" xfId="623" xr:uid="{00000000-0005-0000-0000-0000FF040000}"/>
    <cellStyle name="Normal 6 25 2" xfId="1438" xr:uid="{00000000-0005-0000-0000-000000050000}"/>
    <cellStyle name="Normal 6 26" xfId="624" xr:uid="{00000000-0005-0000-0000-000001050000}"/>
    <cellStyle name="Normal 6 26 2" xfId="1439" xr:uid="{00000000-0005-0000-0000-000002050000}"/>
    <cellStyle name="Normal 6 27" xfId="625" xr:uid="{00000000-0005-0000-0000-000003050000}"/>
    <cellStyle name="Normal 6 27 2" xfId="1440" xr:uid="{00000000-0005-0000-0000-000004050000}"/>
    <cellStyle name="Normal 6 28" xfId="626" xr:uid="{00000000-0005-0000-0000-000005050000}"/>
    <cellStyle name="Normal 6 28 2" xfId="1441" xr:uid="{00000000-0005-0000-0000-000006050000}"/>
    <cellStyle name="Normal 6 29" xfId="627" xr:uid="{00000000-0005-0000-0000-000007050000}"/>
    <cellStyle name="Normal 6 29 2" xfId="1442" xr:uid="{00000000-0005-0000-0000-000008050000}"/>
    <cellStyle name="Normal 6 3" xfId="112" xr:uid="{00000000-0005-0000-0000-000009050000}"/>
    <cellStyle name="Normal 6 3 2" xfId="628" xr:uid="{00000000-0005-0000-0000-00000A050000}"/>
    <cellStyle name="Normal 6 3 2 2" xfId="1443" xr:uid="{00000000-0005-0000-0000-00000B050000}"/>
    <cellStyle name="Normal 6 3 3" xfId="955" xr:uid="{00000000-0005-0000-0000-00000C050000}"/>
    <cellStyle name="Normal 6 3 3 2" xfId="1965" xr:uid="{00000000-0005-0000-0000-00000D050000}"/>
    <cellStyle name="Normal 6 3 4" xfId="1814" xr:uid="{00000000-0005-0000-0000-00000E050000}"/>
    <cellStyle name="Normal 6 30" xfId="629" xr:uid="{00000000-0005-0000-0000-00000F050000}"/>
    <cellStyle name="Normal 6 30 2" xfId="1444" xr:uid="{00000000-0005-0000-0000-000010050000}"/>
    <cellStyle name="Normal 6 31" xfId="630" xr:uid="{00000000-0005-0000-0000-000011050000}"/>
    <cellStyle name="Normal 6 31 2" xfId="1445" xr:uid="{00000000-0005-0000-0000-000012050000}"/>
    <cellStyle name="Normal 6 32" xfId="631" xr:uid="{00000000-0005-0000-0000-000013050000}"/>
    <cellStyle name="Normal 6 32 2" xfId="1446" xr:uid="{00000000-0005-0000-0000-000014050000}"/>
    <cellStyle name="Normal 6 33" xfId="632" xr:uid="{00000000-0005-0000-0000-000015050000}"/>
    <cellStyle name="Normal 6 33 2" xfId="1447" xr:uid="{00000000-0005-0000-0000-000016050000}"/>
    <cellStyle name="Normal 6 34" xfId="633" xr:uid="{00000000-0005-0000-0000-000017050000}"/>
    <cellStyle name="Normal 6 34 2" xfId="1448" xr:uid="{00000000-0005-0000-0000-000018050000}"/>
    <cellStyle name="Normal 6 35" xfId="1449" xr:uid="{00000000-0005-0000-0000-000019050000}"/>
    <cellStyle name="Normal 6 36" xfId="110" xr:uid="{00000000-0005-0000-0000-00001A050000}"/>
    <cellStyle name="Normal 6 37" xfId="1776" xr:uid="{00000000-0005-0000-0000-00001B050000}"/>
    <cellStyle name="Normal 6 37 2" xfId="2043" xr:uid="{00000000-0005-0000-0000-00001C050000}"/>
    <cellStyle name="Normal 6 37 3" xfId="2046" xr:uid="{00000000-0005-0000-0000-00001D050000}"/>
    <cellStyle name="Normal 6 37 3 2" xfId="2050" xr:uid="{00000000-0005-0000-0000-00001E050000}"/>
    <cellStyle name="Normal 6 37 4" xfId="2047" xr:uid="{00000000-0005-0000-0000-00001F050000}"/>
    <cellStyle name="Normal 6 38" xfId="1779" xr:uid="{00000000-0005-0000-0000-000020050000}"/>
    <cellStyle name="Normal 6 38 2" xfId="2045" xr:uid="{00000000-0005-0000-0000-000021050000}"/>
    <cellStyle name="Normal 6 38 3" xfId="2051" xr:uid="{00000000-0005-0000-0000-000022050000}"/>
    <cellStyle name="Normal 6 39" xfId="1786" xr:uid="{00000000-0005-0000-0000-000023050000}"/>
    <cellStyle name="Normal 6 4" xfId="113" xr:uid="{00000000-0005-0000-0000-000024050000}"/>
    <cellStyle name="Normal 6 4 2" xfId="634" xr:uid="{00000000-0005-0000-0000-000025050000}"/>
    <cellStyle name="Normal 6 4 2 2" xfId="1450" xr:uid="{00000000-0005-0000-0000-000026050000}"/>
    <cellStyle name="Normal 6 4 3" xfId="956" xr:uid="{00000000-0005-0000-0000-000027050000}"/>
    <cellStyle name="Normal 6 4 3 2" xfId="1966" xr:uid="{00000000-0005-0000-0000-000028050000}"/>
    <cellStyle name="Normal 6 4 4" xfId="1815" xr:uid="{00000000-0005-0000-0000-000029050000}"/>
    <cellStyle name="Normal 6 40" xfId="2054" xr:uid="{62717279-D656-4F23-9F16-CF98651BF8A4}"/>
    <cellStyle name="Normal 6 5" xfId="114" xr:uid="{00000000-0005-0000-0000-00002A050000}"/>
    <cellStyle name="Normal 6 5 2" xfId="635" xr:uid="{00000000-0005-0000-0000-00002B050000}"/>
    <cellStyle name="Normal 6 5 2 2" xfId="1451" xr:uid="{00000000-0005-0000-0000-00002C050000}"/>
    <cellStyle name="Normal 6 5 3" xfId="957" xr:uid="{00000000-0005-0000-0000-00002D050000}"/>
    <cellStyle name="Normal 6 5 3 2" xfId="1967" xr:uid="{00000000-0005-0000-0000-00002E050000}"/>
    <cellStyle name="Normal 6 5 4" xfId="1816" xr:uid="{00000000-0005-0000-0000-00002F050000}"/>
    <cellStyle name="Normal 6 6" xfId="115" xr:uid="{00000000-0005-0000-0000-000030050000}"/>
    <cellStyle name="Normal 6 6 2" xfId="636" xr:uid="{00000000-0005-0000-0000-000031050000}"/>
    <cellStyle name="Normal 6 6 2 2" xfId="1452" xr:uid="{00000000-0005-0000-0000-000032050000}"/>
    <cellStyle name="Normal 6 6 3" xfId="958" xr:uid="{00000000-0005-0000-0000-000033050000}"/>
    <cellStyle name="Normal 6 6 3 2" xfId="1968" xr:uid="{00000000-0005-0000-0000-000034050000}"/>
    <cellStyle name="Normal 6 6 4" xfId="1817" xr:uid="{00000000-0005-0000-0000-000035050000}"/>
    <cellStyle name="Normal 6 7" xfId="116" xr:uid="{00000000-0005-0000-0000-000036050000}"/>
    <cellStyle name="Normal 6 7 2" xfId="637" xr:uid="{00000000-0005-0000-0000-000037050000}"/>
    <cellStyle name="Normal 6 7 2 2" xfId="1453" xr:uid="{00000000-0005-0000-0000-000038050000}"/>
    <cellStyle name="Normal 6 7 3" xfId="959" xr:uid="{00000000-0005-0000-0000-000039050000}"/>
    <cellStyle name="Normal 6 7 3 2" xfId="1969" xr:uid="{00000000-0005-0000-0000-00003A050000}"/>
    <cellStyle name="Normal 6 7 4" xfId="1818" xr:uid="{00000000-0005-0000-0000-00003B050000}"/>
    <cellStyle name="Normal 6 8" xfId="638" xr:uid="{00000000-0005-0000-0000-00003C050000}"/>
    <cellStyle name="Normal 6 8 2" xfId="1454" xr:uid="{00000000-0005-0000-0000-00003D050000}"/>
    <cellStyle name="Normal 6 9" xfId="639" xr:uid="{00000000-0005-0000-0000-00003E050000}"/>
    <cellStyle name="Normal 6 9 2" xfId="1455" xr:uid="{00000000-0005-0000-0000-00003F050000}"/>
    <cellStyle name="Normal 60" xfId="1456" xr:uid="{00000000-0005-0000-0000-000040050000}"/>
    <cellStyle name="Normal 61" xfId="1457" xr:uid="{00000000-0005-0000-0000-000041050000}"/>
    <cellStyle name="Normal 62" xfId="1458" xr:uid="{00000000-0005-0000-0000-000042050000}"/>
    <cellStyle name="Normal 62 2" xfId="1768" xr:uid="{00000000-0005-0000-0000-000043050000}"/>
    <cellStyle name="Normal 62 2 2" xfId="2037" xr:uid="{00000000-0005-0000-0000-000044050000}"/>
    <cellStyle name="Normal 62 3" xfId="2008" xr:uid="{00000000-0005-0000-0000-000045050000}"/>
    <cellStyle name="Normal 63" xfId="1770" xr:uid="{00000000-0005-0000-0000-000046050000}"/>
    <cellStyle name="Normal 63 2" xfId="2039" xr:uid="{00000000-0005-0000-0000-000047050000}"/>
    <cellStyle name="Normal 64" xfId="26" xr:uid="{00000000-0005-0000-0000-000048050000}"/>
    <cellStyle name="Normal 65" xfId="132" xr:uid="{00000000-0005-0000-0000-000049050000}"/>
    <cellStyle name="Normal 65 2" xfId="1833" xr:uid="{00000000-0005-0000-0000-00004A050000}"/>
    <cellStyle name="Normal 7" xfId="16" xr:uid="{00000000-0005-0000-0000-00004B050000}"/>
    <cellStyle name="Normal 7 10" xfId="640" xr:uid="{00000000-0005-0000-0000-00004C050000}"/>
    <cellStyle name="Normal 7 10 2" xfId="1459" xr:uid="{00000000-0005-0000-0000-00004D050000}"/>
    <cellStyle name="Normal 7 11" xfId="641" xr:uid="{00000000-0005-0000-0000-00004E050000}"/>
    <cellStyle name="Normal 7 11 2" xfId="1460" xr:uid="{00000000-0005-0000-0000-00004F050000}"/>
    <cellStyle name="Normal 7 12" xfId="642" xr:uid="{00000000-0005-0000-0000-000050050000}"/>
    <cellStyle name="Normal 7 12 2" xfId="1461" xr:uid="{00000000-0005-0000-0000-000051050000}"/>
    <cellStyle name="Normal 7 13" xfId="643" xr:uid="{00000000-0005-0000-0000-000052050000}"/>
    <cellStyle name="Normal 7 13 2" xfId="1462" xr:uid="{00000000-0005-0000-0000-000053050000}"/>
    <cellStyle name="Normal 7 14" xfId="644" xr:uid="{00000000-0005-0000-0000-000054050000}"/>
    <cellStyle name="Normal 7 14 2" xfId="1463" xr:uid="{00000000-0005-0000-0000-000055050000}"/>
    <cellStyle name="Normal 7 15" xfId="645" xr:uid="{00000000-0005-0000-0000-000056050000}"/>
    <cellStyle name="Normal 7 15 2" xfId="1464" xr:uid="{00000000-0005-0000-0000-000057050000}"/>
    <cellStyle name="Normal 7 16" xfId="646" xr:uid="{00000000-0005-0000-0000-000058050000}"/>
    <cellStyle name="Normal 7 16 2" xfId="1465" xr:uid="{00000000-0005-0000-0000-000059050000}"/>
    <cellStyle name="Normal 7 17" xfId="647" xr:uid="{00000000-0005-0000-0000-00005A050000}"/>
    <cellStyle name="Normal 7 17 2" xfId="1466" xr:uid="{00000000-0005-0000-0000-00005B050000}"/>
    <cellStyle name="Normal 7 18" xfId="648" xr:uid="{00000000-0005-0000-0000-00005C050000}"/>
    <cellStyle name="Normal 7 18 2" xfId="1467" xr:uid="{00000000-0005-0000-0000-00005D050000}"/>
    <cellStyle name="Normal 7 19" xfId="649" xr:uid="{00000000-0005-0000-0000-00005E050000}"/>
    <cellStyle name="Normal 7 19 2" xfId="1468" xr:uid="{00000000-0005-0000-0000-00005F050000}"/>
    <cellStyle name="Normal 7 2" xfId="118" xr:uid="{00000000-0005-0000-0000-000060050000}"/>
    <cellStyle name="Normal 7 2 2" xfId="650" xr:uid="{00000000-0005-0000-0000-000061050000}"/>
    <cellStyle name="Normal 7 2 2 2" xfId="1469" xr:uid="{00000000-0005-0000-0000-000062050000}"/>
    <cellStyle name="Normal 7 2 3" xfId="960" xr:uid="{00000000-0005-0000-0000-000063050000}"/>
    <cellStyle name="Normal 7 2 3 2" xfId="1970" xr:uid="{00000000-0005-0000-0000-000064050000}"/>
    <cellStyle name="Normal 7 2 4" xfId="1820" xr:uid="{00000000-0005-0000-0000-000065050000}"/>
    <cellStyle name="Normal 7 20" xfId="651" xr:uid="{00000000-0005-0000-0000-000066050000}"/>
    <cellStyle name="Normal 7 20 2" xfId="1470" xr:uid="{00000000-0005-0000-0000-000067050000}"/>
    <cellStyle name="Normal 7 21" xfId="652" xr:uid="{00000000-0005-0000-0000-000068050000}"/>
    <cellStyle name="Normal 7 21 2" xfId="1471" xr:uid="{00000000-0005-0000-0000-000069050000}"/>
    <cellStyle name="Normal 7 22" xfId="653" xr:uid="{00000000-0005-0000-0000-00006A050000}"/>
    <cellStyle name="Normal 7 22 2" xfId="1472" xr:uid="{00000000-0005-0000-0000-00006B050000}"/>
    <cellStyle name="Normal 7 23" xfId="654" xr:uid="{00000000-0005-0000-0000-00006C050000}"/>
    <cellStyle name="Normal 7 23 2" xfId="1473" xr:uid="{00000000-0005-0000-0000-00006D050000}"/>
    <cellStyle name="Normal 7 24" xfId="655" xr:uid="{00000000-0005-0000-0000-00006E050000}"/>
    <cellStyle name="Normal 7 24 2" xfId="1474" xr:uid="{00000000-0005-0000-0000-00006F050000}"/>
    <cellStyle name="Normal 7 25" xfId="656" xr:uid="{00000000-0005-0000-0000-000070050000}"/>
    <cellStyle name="Normal 7 25 2" xfId="1475" xr:uid="{00000000-0005-0000-0000-000071050000}"/>
    <cellStyle name="Normal 7 26" xfId="657" xr:uid="{00000000-0005-0000-0000-000072050000}"/>
    <cellStyle name="Normal 7 26 2" xfId="1476" xr:uid="{00000000-0005-0000-0000-000073050000}"/>
    <cellStyle name="Normal 7 27" xfId="658" xr:uid="{00000000-0005-0000-0000-000074050000}"/>
    <cellStyle name="Normal 7 27 2" xfId="1477" xr:uid="{00000000-0005-0000-0000-000075050000}"/>
    <cellStyle name="Normal 7 28" xfId="659" xr:uid="{00000000-0005-0000-0000-000076050000}"/>
    <cellStyle name="Normal 7 28 2" xfId="1478" xr:uid="{00000000-0005-0000-0000-000077050000}"/>
    <cellStyle name="Normal 7 29" xfId="660" xr:uid="{00000000-0005-0000-0000-000078050000}"/>
    <cellStyle name="Normal 7 29 2" xfId="1479" xr:uid="{00000000-0005-0000-0000-000079050000}"/>
    <cellStyle name="Normal 7 3" xfId="119" xr:uid="{00000000-0005-0000-0000-00007A050000}"/>
    <cellStyle name="Normal 7 3 2" xfId="661" xr:uid="{00000000-0005-0000-0000-00007B050000}"/>
    <cellStyle name="Normal 7 3 2 2" xfId="1480" xr:uid="{00000000-0005-0000-0000-00007C050000}"/>
    <cellStyle name="Normal 7 3 3" xfId="961" xr:uid="{00000000-0005-0000-0000-00007D050000}"/>
    <cellStyle name="Normal 7 3 3 2" xfId="1971" xr:uid="{00000000-0005-0000-0000-00007E050000}"/>
    <cellStyle name="Normal 7 3 4" xfId="1821" xr:uid="{00000000-0005-0000-0000-00007F050000}"/>
    <cellStyle name="Normal 7 30" xfId="662" xr:uid="{00000000-0005-0000-0000-000080050000}"/>
    <cellStyle name="Normal 7 30 2" xfId="1481" xr:uid="{00000000-0005-0000-0000-000081050000}"/>
    <cellStyle name="Normal 7 31" xfId="663" xr:uid="{00000000-0005-0000-0000-000082050000}"/>
    <cellStyle name="Normal 7 31 2" xfId="1482" xr:uid="{00000000-0005-0000-0000-000083050000}"/>
    <cellStyle name="Normal 7 32" xfId="664" xr:uid="{00000000-0005-0000-0000-000084050000}"/>
    <cellStyle name="Normal 7 32 2" xfId="1483" xr:uid="{00000000-0005-0000-0000-000085050000}"/>
    <cellStyle name="Normal 7 33" xfId="665" xr:uid="{00000000-0005-0000-0000-000086050000}"/>
    <cellStyle name="Normal 7 33 2" xfId="1484" xr:uid="{00000000-0005-0000-0000-000087050000}"/>
    <cellStyle name="Normal 7 34" xfId="666" xr:uid="{00000000-0005-0000-0000-000088050000}"/>
    <cellStyle name="Normal 7 34 2" xfId="1485" xr:uid="{00000000-0005-0000-0000-000089050000}"/>
    <cellStyle name="Normal 7 35" xfId="667" xr:uid="{00000000-0005-0000-0000-00008A050000}"/>
    <cellStyle name="Normal 7 35 2" xfId="1905" xr:uid="{00000000-0005-0000-0000-00008B050000}"/>
    <cellStyle name="Normal 7 36" xfId="668" xr:uid="{00000000-0005-0000-0000-00008C050000}"/>
    <cellStyle name="Normal 7 36 2" xfId="1906" xr:uid="{00000000-0005-0000-0000-00008D050000}"/>
    <cellStyle name="Normal 7 37" xfId="669" xr:uid="{00000000-0005-0000-0000-00008E050000}"/>
    <cellStyle name="Normal 7 37 2" xfId="1907" xr:uid="{00000000-0005-0000-0000-00008F050000}"/>
    <cellStyle name="Normal 7 38" xfId="670" xr:uid="{00000000-0005-0000-0000-000090050000}"/>
    <cellStyle name="Normal 7 38 2" xfId="1908" xr:uid="{00000000-0005-0000-0000-000091050000}"/>
    <cellStyle name="Normal 7 39" xfId="671" xr:uid="{00000000-0005-0000-0000-000092050000}"/>
    <cellStyle name="Normal 7 39 2" xfId="1909" xr:uid="{00000000-0005-0000-0000-000093050000}"/>
    <cellStyle name="Normal 7 4" xfId="120" xr:uid="{00000000-0005-0000-0000-000094050000}"/>
    <cellStyle name="Normal 7 4 2" xfId="672" xr:uid="{00000000-0005-0000-0000-000095050000}"/>
    <cellStyle name="Normal 7 4 2 2" xfId="1486" xr:uid="{00000000-0005-0000-0000-000096050000}"/>
    <cellStyle name="Normal 7 4 3" xfId="962" xr:uid="{00000000-0005-0000-0000-000097050000}"/>
    <cellStyle name="Normal 7 4 3 2" xfId="1972" xr:uid="{00000000-0005-0000-0000-000098050000}"/>
    <cellStyle name="Normal 7 4 4" xfId="1822" xr:uid="{00000000-0005-0000-0000-000099050000}"/>
    <cellStyle name="Normal 7 40" xfId="673" xr:uid="{00000000-0005-0000-0000-00009A050000}"/>
    <cellStyle name="Normal 7 40 2" xfId="1910" xr:uid="{00000000-0005-0000-0000-00009B050000}"/>
    <cellStyle name="Normal 7 41" xfId="674" xr:uid="{00000000-0005-0000-0000-00009C050000}"/>
    <cellStyle name="Normal 7 41 2" xfId="1911" xr:uid="{00000000-0005-0000-0000-00009D050000}"/>
    <cellStyle name="Normal 7 42" xfId="675" xr:uid="{00000000-0005-0000-0000-00009E050000}"/>
    <cellStyle name="Normal 7 42 2" xfId="1912" xr:uid="{00000000-0005-0000-0000-00009F050000}"/>
    <cellStyle name="Normal 7 43" xfId="676" xr:uid="{00000000-0005-0000-0000-0000A0050000}"/>
    <cellStyle name="Normal 7 43 2" xfId="1913" xr:uid="{00000000-0005-0000-0000-0000A1050000}"/>
    <cellStyle name="Normal 7 44" xfId="677" xr:uid="{00000000-0005-0000-0000-0000A2050000}"/>
    <cellStyle name="Normal 7 44 2" xfId="1914" xr:uid="{00000000-0005-0000-0000-0000A3050000}"/>
    <cellStyle name="Normal 7 45" xfId="678" xr:uid="{00000000-0005-0000-0000-0000A4050000}"/>
    <cellStyle name="Normal 7 45 2" xfId="1915" xr:uid="{00000000-0005-0000-0000-0000A5050000}"/>
    <cellStyle name="Normal 7 46" xfId="679" xr:uid="{00000000-0005-0000-0000-0000A6050000}"/>
    <cellStyle name="Normal 7 46 2" xfId="1916" xr:uid="{00000000-0005-0000-0000-0000A7050000}"/>
    <cellStyle name="Normal 7 47" xfId="680" xr:uid="{00000000-0005-0000-0000-0000A8050000}"/>
    <cellStyle name="Normal 7 47 2" xfId="1917" xr:uid="{00000000-0005-0000-0000-0000A9050000}"/>
    <cellStyle name="Normal 7 48" xfId="681" xr:uid="{00000000-0005-0000-0000-0000AA050000}"/>
    <cellStyle name="Normal 7 48 2" xfId="1918" xr:uid="{00000000-0005-0000-0000-0000AB050000}"/>
    <cellStyle name="Normal 7 49" xfId="682" xr:uid="{00000000-0005-0000-0000-0000AC050000}"/>
    <cellStyle name="Normal 7 49 2" xfId="1919" xr:uid="{00000000-0005-0000-0000-0000AD050000}"/>
    <cellStyle name="Normal 7 5" xfId="121" xr:uid="{00000000-0005-0000-0000-0000AE050000}"/>
    <cellStyle name="Normal 7 5 2" xfId="683" xr:uid="{00000000-0005-0000-0000-0000AF050000}"/>
    <cellStyle name="Normal 7 5 2 2" xfId="1487" xr:uid="{00000000-0005-0000-0000-0000B0050000}"/>
    <cellStyle name="Normal 7 5 3" xfId="963" xr:uid="{00000000-0005-0000-0000-0000B1050000}"/>
    <cellStyle name="Normal 7 5 3 2" xfId="1973" xr:uid="{00000000-0005-0000-0000-0000B2050000}"/>
    <cellStyle name="Normal 7 5 4" xfId="1823" xr:uid="{00000000-0005-0000-0000-0000B3050000}"/>
    <cellStyle name="Normal 7 50" xfId="684" xr:uid="{00000000-0005-0000-0000-0000B4050000}"/>
    <cellStyle name="Normal 7 50 2" xfId="1920" xr:uid="{00000000-0005-0000-0000-0000B5050000}"/>
    <cellStyle name="Normal 7 51" xfId="685" xr:uid="{00000000-0005-0000-0000-0000B6050000}"/>
    <cellStyle name="Normal 7 51 2" xfId="1921" xr:uid="{00000000-0005-0000-0000-0000B7050000}"/>
    <cellStyle name="Normal 7 52" xfId="117" xr:uid="{00000000-0005-0000-0000-0000B8050000}"/>
    <cellStyle name="Normal 7 52 2" xfId="1819" xr:uid="{00000000-0005-0000-0000-0000B9050000}"/>
    <cellStyle name="Normal 7 53" xfId="1791" xr:uid="{00000000-0005-0000-0000-0000BA050000}"/>
    <cellStyle name="Normal 7 6" xfId="122" xr:uid="{00000000-0005-0000-0000-0000BB050000}"/>
    <cellStyle name="Normal 7 6 2" xfId="686" xr:uid="{00000000-0005-0000-0000-0000BC050000}"/>
    <cellStyle name="Normal 7 6 2 2" xfId="1488" xr:uid="{00000000-0005-0000-0000-0000BD050000}"/>
    <cellStyle name="Normal 7 6 3" xfId="964" xr:uid="{00000000-0005-0000-0000-0000BE050000}"/>
    <cellStyle name="Normal 7 6 3 2" xfId="1974" xr:uid="{00000000-0005-0000-0000-0000BF050000}"/>
    <cellStyle name="Normal 7 6 4" xfId="1824" xr:uid="{00000000-0005-0000-0000-0000C0050000}"/>
    <cellStyle name="Normal 7 7" xfId="123" xr:uid="{00000000-0005-0000-0000-0000C1050000}"/>
    <cellStyle name="Normal 7 7 2" xfId="687" xr:uid="{00000000-0005-0000-0000-0000C2050000}"/>
    <cellStyle name="Normal 7 7 2 2" xfId="1489" xr:uid="{00000000-0005-0000-0000-0000C3050000}"/>
    <cellStyle name="Normal 7 7 3" xfId="965" xr:uid="{00000000-0005-0000-0000-0000C4050000}"/>
    <cellStyle name="Normal 7 7 3 2" xfId="1975" xr:uid="{00000000-0005-0000-0000-0000C5050000}"/>
    <cellStyle name="Normal 7 7 4" xfId="1825" xr:uid="{00000000-0005-0000-0000-0000C6050000}"/>
    <cellStyle name="Normal 7 8" xfId="688" xr:uid="{00000000-0005-0000-0000-0000C7050000}"/>
    <cellStyle name="Normal 7 8 2" xfId="1490" xr:uid="{00000000-0005-0000-0000-0000C8050000}"/>
    <cellStyle name="Normal 7 9" xfId="689" xr:uid="{00000000-0005-0000-0000-0000C9050000}"/>
    <cellStyle name="Normal 7 9 2" xfId="1491" xr:uid="{00000000-0005-0000-0000-0000CA050000}"/>
    <cellStyle name="Normal 8" xfId="22" xr:uid="{00000000-0005-0000-0000-0000CB050000}"/>
    <cellStyle name="Normal 8 10" xfId="690" xr:uid="{00000000-0005-0000-0000-0000CC050000}"/>
    <cellStyle name="Normal 8 10 2" xfId="1492" xr:uid="{00000000-0005-0000-0000-0000CD050000}"/>
    <cellStyle name="Normal 8 11" xfId="691" xr:uid="{00000000-0005-0000-0000-0000CE050000}"/>
    <cellStyle name="Normal 8 11 2" xfId="1493" xr:uid="{00000000-0005-0000-0000-0000CF050000}"/>
    <cellStyle name="Normal 8 12" xfId="692" xr:uid="{00000000-0005-0000-0000-0000D0050000}"/>
    <cellStyle name="Normal 8 12 2" xfId="1494" xr:uid="{00000000-0005-0000-0000-0000D1050000}"/>
    <cellStyle name="Normal 8 13" xfId="693" xr:uid="{00000000-0005-0000-0000-0000D2050000}"/>
    <cellStyle name="Normal 8 13 2" xfId="1495" xr:uid="{00000000-0005-0000-0000-0000D3050000}"/>
    <cellStyle name="Normal 8 14" xfId="694" xr:uid="{00000000-0005-0000-0000-0000D4050000}"/>
    <cellStyle name="Normal 8 14 2" xfId="1496" xr:uid="{00000000-0005-0000-0000-0000D5050000}"/>
    <cellStyle name="Normal 8 15" xfId="695" xr:uid="{00000000-0005-0000-0000-0000D6050000}"/>
    <cellStyle name="Normal 8 15 2" xfId="1497" xr:uid="{00000000-0005-0000-0000-0000D7050000}"/>
    <cellStyle name="Normal 8 16" xfId="696" xr:uid="{00000000-0005-0000-0000-0000D8050000}"/>
    <cellStyle name="Normal 8 16 2" xfId="1498" xr:uid="{00000000-0005-0000-0000-0000D9050000}"/>
    <cellStyle name="Normal 8 17" xfId="697" xr:uid="{00000000-0005-0000-0000-0000DA050000}"/>
    <cellStyle name="Normal 8 17 2" xfId="1499" xr:uid="{00000000-0005-0000-0000-0000DB050000}"/>
    <cellStyle name="Normal 8 18" xfId="698" xr:uid="{00000000-0005-0000-0000-0000DC050000}"/>
    <cellStyle name="Normal 8 18 2" xfId="1500" xr:uid="{00000000-0005-0000-0000-0000DD050000}"/>
    <cellStyle name="Normal 8 19" xfId="699" xr:uid="{00000000-0005-0000-0000-0000DE050000}"/>
    <cellStyle name="Normal 8 19 2" xfId="1501" xr:uid="{00000000-0005-0000-0000-0000DF050000}"/>
    <cellStyle name="Normal 8 2" xfId="125" xr:uid="{00000000-0005-0000-0000-0000E0050000}"/>
    <cellStyle name="Normal 8 2 2" xfId="700" xr:uid="{00000000-0005-0000-0000-0000E1050000}"/>
    <cellStyle name="Normal 8 2 2 2" xfId="1502" xr:uid="{00000000-0005-0000-0000-0000E2050000}"/>
    <cellStyle name="Normal 8 2 3" xfId="967" xr:uid="{00000000-0005-0000-0000-0000E3050000}"/>
    <cellStyle name="Normal 8 2 3 2" xfId="1977" xr:uid="{00000000-0005-0000-0000-0000E4050000}"/>
    <cellStyle name="Normal 8 2 4" xfId="1772" xr:uid="{00000000-0005-0000-0000-0000E5050000}"/>
    <cellStyle name="Normal 8 2 5" xfId="1827" xr:uid="{00000000-0005-0000-0000-0000E6050000}"/>
    <cellStyle name="Normal 8 20" xfId="701" xr:uid="{00000000-0005-0000-0000-0000E7050000}"/>
    <cellStyle name="Normal 8 20 2" xfId="1503" xr:uid="{00000000-0005-0000-0000-0000E8050000}"/>
    <cellStyle name="Normal 8 21" xfId="702" xr:uid="{00000000-0005-0000-0000-0000E9050000}"/>
    <cellStyle name="Normal 8 21 2" xfId="1504" xr:uid="{00000000-0005-0000-0000-0000EA050000}"/>
    <cellStyle name="Normal 8 22" xfId="703" xr:uid="{00000000-0005-0000-0000-0000EB050000}"/>
    <cellStyle name="Normal 8 22 2" xfId="1505" xr:uid="{00000000-0005-0000-0000-0000EC050000}"/>
    <cellStyle name="Normal 8 23" xfId="704" xr:uid="{00000000-0005-0000-0000-0000ED050000}"/>
    <cellStyle name="Normal 8 23 2" xfId="1506" xr:uid="{00000000-0005-0000-0000-0000EE050000}"/>
    <cellStyle name="Normal 8 24" xfId="705" xr:uid="{00000000-0005-0000-0000-0000EF050000}"/>
    <cellStyle name="Normal 8 24 2" xfId="1507" xr:uid="{00000000-0005-0000-0000-0000F0050000}"/>
    <cellStyle name="Normal 8 25" xfId="706" xr:uid="{00000000-0005-0000-0000-0000F1050000}"/>
    <cellStyle name="Normal 8 25 2" xfId="1508" xr:uid="{00000000-0005-0000-0000-0000F2050000}"/>
    <cellStyle name="Normal 8 26" xfId="707" xr:uid="{00000000-0005-0000-0000-0000F3050000}"/>
    <cellStyle name="Normal 8 26 2" xfId="1509" xr:uid="{00000000-0005-0000-0000-0000F4050000}"/>
    <cellStyle name="Normal 8 27" xfId="708" xr:uid="{00000000-0005-0000-0000-0000F5050000}"/>
    <cellStyle name="Normal 8 27 2" xfId="1510" xr:uid="{00000000-0005-0000-0000-0000F6050000}"/>
    <cellStyle name="Normal 8 28" xfId="709" xr:uid="{00000000-0005-0000-0000-0000F7050000}"/>
    <cellStyle name="Normal 8 28 2" xfId="1511" xr:uid="{00000000-0005-0000-0000-0000F8050000}"/>
    <cellStyle name="Normal 8 29" xfId="710" xr:uid="{00000000-0005-0000-0000-0000F9050000}"/>
    <cellStyle name="Normal 8 29 2" xfId="1512" xr:uid="{00000000-0005-0000-0000-0000FA050000}"/>
    <cellStyle name="Normal 8 3" xfId="126" xr:uid="{00000000-0005-0000-0000-0000FB050000}"/>
    <cellStyle name="Normal 8 3 2" xfId="711" xr:uid="{00000000-0005-0000-0000-0000FC050000}"/>
    <cellStyle name="Normal 8 3 2 2" xfId="1513" xr:uid="{00000000-0005-0000-0000-0000FD050000}"/>
    <cellStyle name="Normal 8 3 3" xfId="968" xr:uid="{00000000-0005-0000-0000-0000FE050000}"/>
    <cellStyle name="Normal 8 3 3 2" xfId="1978" xr:uid="{00000000-0005-0000-0000-0000FF050000}"/>
    <cellStyle name="Normal 8 3 4" xfId="1828" xr:uid="{00000000-0005-0000-0000-000000060000}"/>
    <cellStyle name="Normal 8 30" xfId="712" xr:uid="{00000000-0005-0000-0000-000001060000}"/>
    <cellStyle name="Normal 8 30 2" xfId="1514" xr:uid="{00000000-0005-0000-0000-000002060000}"/>
    <cellStyle name="Normal 8 31" xfId="713" xr:uid="{00000000-0005-0000-0000-000003060000}"/>
    <cellStyle name="Normal 8 31 2" xfId="1515" xr:uid="{00000000-0005-0000-0000-000004060000}"/>
    <cellStyle name="Normal 8 32" xfId="714" xr:uid="{00000000-0005-0000-0000-000005060000}"/>
    <cellStyle name="Normal 8 32 2" xfId="1516" xr:uid="{00000000-0005-0000-0000-000006060000}"/>
    <cellStyle name="Normal 8 33" xfId="715" xr:uid="{00000000-0005-0000-0000-000007060000}"/>
    <cellStyle name="Normal 8 33 2" xfId="1517" xr:uid="{00000000-0005-0000-0000-000008060000}"/>
    <cellStyle name="Normal 8 34" xfId="716" xr:uid="{00000000-0005-0000-0000-000009060000}"/>
    <cellStyle name="Normal 8 34 2" xfId="1518" xr:uid="{00000000-0005-0000-0000-00000A060000}"/>
    <cellStyle name="Normal 8 35" xfId="717" xr:uid="{00000000-0005-0000-0000-00000B060000}"/>
    <cellStyle name="Normal 8 35 2" xfId="1519" xr:uid="{00000000-0005-0000-0000-00000C060000}"/>
    <cellStyle name="Normal 8 36" xfId="718" xr:uid="{00000000-0005-0000-0000-00000D060000}"/>
    <cellStyle name="Normal 8 36 2" xfId="1520" xr:uid="{00000000-0005-0000-0000-00000E060000}"/>
    <cellStyle name="Normal 8 37" xfId="719" xr:uid="{00000000-0005-0000-0000-00000F060000}"/>
    <cellStyle name="Normal 8 37 2" xfId="1521" xr:uid="{00000000-0005-0000-0000-000010060000}"/>
    <cellStyle name="Normal 8 38" xfId="720" xr:uid="{00000000-0005-0000-0000-000011060000}"/>
    <cellStyle name="Normal 8 38 2" xfId="1522" xr:uid="{00000000-0005-0000-0000-000012060000}"/>
    <cellStyle name="Normal 8 39" xfId="721" xr:uid="{00000000-0005-0000-0000-000013060000}"/>
    <cellStyle name="Normal 8 39 2" xfId="1523" xr:uid="{00000000-0005-0000-0000-000014060000}"/>
    <cellStyle name="Normal 8 4" xfId="127" xr:uid="{00000000-0005-0000-0000-000015060000}"/>
    <cellStyle name="Normal 8 4 2" xfId="722" xr:uid="{00000000-0005-0000-0000-000016060000}"/>
    <cellStyle name="Normal 8 4 2 2" xfId="1524" xr:uid="{00000000-0005-0000-0000-000017060000}"/>
    <cellStyle name="Normal 8 4 3" xfId="969" xr:uid="{00000000-0005-0000-0000-000018060000}"/>
    <cellStyle name="Normal 8 4 3 2" xfId="1979" xr:uid="{00000000-0005-0000-0000-000019060000}"/>
    <cellStyle name="Normal 8 4 4" xfId="1829" xr:uid="{00000000-0005-0000-0000-00001A060000}"/>
    <cellStyle name="Normal 8 40" xfId="723" xr:uid="{00000000-0005-0000-0000-00001B060000}"/>
    <cellStyle name="Normal 8 40 2" xfId="1525" xr:uid="{00000000-0005-0000-0000-00001C060000}"/>
    <cellStyle name="Normal 8 41" xfId="724" xr:uid="{00000000-0005-0000-0000-00001D060000}"/>
    <cellStyle name="Normal 8 41 2" xfId="1526" xr:uid="{00000000-0005-0000-0000-00001E060000}"/>
    <cellStyle name="Normal 8 42" xfId="725" xr:uid="{00000000-0005-0000-0000-00001F060000}"/>
    <cellStyle name="Normal 8 42 2" xfId="1527" xr:uid="{00000000-0005-0000-0000-000020060000}"/>
    <cellStyle name="Normal 8 43" xfId="726" xr:uid="{00000000-0005-0000-0000-000021060000}"/>
    <cellStyle name="Normal 8 43 2" xfId="1528" xr:uid="{00000000-0005-0000-0000-000022060000}"/>
    <cellStyle name="Normal 8 44" xfId="727" xr:uid="{00000000-0005-0000-0000-000023060000}"/>
    <cellStyle name="Normal 8 44 2" xfId="1529" xr:uid="{00000000-0005-0000-0000-000024060000}"/>
    <cellStyle name="Normal 8 45" xfId="728" xr:uid="{00000000-0005-0000-0000-000025060000}"/>
    <cellStyle name="Normal 8 45 2" xfId="1530" xr:uid="{00000000-0005-0000-0000-000026060000}"/>
    <cellStyle name="Normal 8 46" xfId="729" xr:uid="{00000000-0005-0000-0000-000027060000}"/>
    <cellStyle name="Normal 8 46 2" xfId="1531" xr:uid="{00000000-0005-0000-0000-000028060000}"/>
    <cellStyle name="Normal 8 47" xfId="730" xr:uid="{00000000-0005-0000-0000-000029060000}"/>
    <cellStyle name="Normal 8 47 2" xfId="1532" xr:uid="{00000000-0005-0000-0000-00002A060000}"/>
    <cellStyle name="Normal 8 48" xfId="731" xr:uid="{00000000-0005-0000-0000-00002B060000}"/>
    <cellStyle name="Normal 8 48 2" xfId="1533" xr:uid="{00000000-0005-0000-0000-00002C060000}"/>
    <cellStyle name="Normal 8 49" xfId="732" xr:uid="{00000000-0005-0000-0000-00002D060000}"/>
    <cellStyle name="Normal 8 49 2" xfId="1534" xr:uid="{00000000-0005-0000-0000-00002E060000}"/>
    <cellStyle name="Normal 8 5" xfId="128" xr:uid="{00000000-0005-0000-0000-00002F060000}"/>
    <cellStyle name="Normal 8 5 2" xfId="733" xr:uid="{00000000-0005-0000-0000-000030060000}"/>
    <cellStyle name="Normal 8 5 2 2" xfId="1535" xr:uid="{00000000-0005-0000-0000-000031060000}"/>
    <cellStyle name="Normal 8 5 3" xfId="970" xr:uid="{00000000-0005-0000-0000-000032060000}"/>
    <cellStyle name="Normal 8 5 3 2" xfId="1980" xr:uid="{00000000-0005-0000-0000-000033060000}"/>
    <cellStyle name="Normal 8 5 4" xfId="1830" xr:uid="{00000000-0005-0000-0000-000034060000}"/>
    <cellStyle name="Normal 8 50" xfId="734" xr:uid="{00000000-0005-0000-0000-000035060000}"/>
    <cellStyle name="Normal 8 50 2" xfId="1536" xr:uid="{00000000-0005-0000-0000-000036060000}"/>
    <cellStyle name="Normal 8 51" xfId="966" xr:uid="{00000000-0005-0000-0000-000037060000}"/>
    <cellStyle name="Normal 8 51 2" xfId="1976" xr:uid="{00000000-0005-0000-0000-000038060000}"/>
    <cellStyle name="Normal 8 52" xfId="124" xr:uid="{00000000-0005-0000-0000-000039060000}"/>
    <cellStyle name="Normal 8 52 2" xfId="1826" xr:uid="{00000000-0005-0000-0000-00003A060000}"/>
    <cellStyle name="Normal 8 53" xfId="1797" xr:uid="{00000000-0005-0000-0000-00003B060000}"/>
    <cellStyle name="Normal 8 6" xfId="129" xr:uid="{00000000-0005-0000-0000-00003C060000}"/>
    <cellStyle name="Normal 8 6 2" xfId="735" xr:uid="{00000000-0005-0000-0000-00003D060000}"/>
    <cellStyle name="Normal 8 6 2 2" xfId="1537" xr:uid="{00000000-0005-0000-0000-00003E060000}"/>
    <cellStyle name="Normal 8 6 3" xfId="971" xr:uid="{00000000-0005-0000-0000-00003F060000}"/>
    <cellStyle name="Normal 8 6 3 2" xfId="1981" xr:uid="{00000000-0005-0000-0000-000040060000}"/>
    <cellStyle name="Normal 8 6 4" xfId="1831" xr:uid="{00000000-0005-0000-0000-000041060000}"/>
    <cellStyle name="Normal 8 7" xfId="130" xr:uid="{00000000-0005-0000-0000-000042060000}"/>
    <cellStyle name="Normal 8 7 2" xfId="736" xr:uid="{00000000-0005-0000-0000-000043060000}"/>
    <cellStyle name="Normal 8 7 2 2" xfId="1538" xr:uid="{00000000-0005-0000-0000-000044060000}"/>
    <cellStyle name="Normal 8 7 3" xfId="972" xr:uid="{00000000-0005-0000-0000-000045060000}"/>
    <cellStyle name="Normal 8 7 3 2" xfId="1982" xr:uid="{00000000-0005-0000-0000-000046060000}"/>
    <cellStyle name="Normal 8 7 4" xfId="1832" xr:uid="{00000000-0005-0000-0000-000047060000}"/>
    <cellStyle name="Normal 8 8" xfId="737" xr:uid="{00000000-0005-0000-0000-000048060000}"/>
    <cellStyle name="Normal 8 8 2" xfId="1539" xr:uid="{00000000-0005-0000-0000-000049060000}"/>
    <cellStyle name="Normal 8 9" xfId="738" xr:uid="{00000000-0005-0000-0000-00004A060000}"/>
    <cellStyle name="Normal 8 9 2" xfId="1540" xr:uid="{00000000-0005-0000-0000-00004B060000}"/>
    <cellStyle name="Normal 8_EQT Corporate Wide GHG Calcs_20090729" xfId="739" xr:uid="{00000000-0005-0000-0000-00004C060000}"/>
    <cellStyle name="Normal 9" xfId="25" xr:uid="{00000000-0005-0000-0000-00004D060000}"/>
    <cellStyle name="Normal 9 10" xfId="740" xr:uid="{00000000-0005-0000-0000-00004E060000}"/>
    <cellStyle name="Normal 9 10 2" xfId="1541" xr:uid="{00000000-0005-0000-0000-00004F060000}"/>
    <cellStyle name="Normal 9 11" xfId="741" xr:uid="{00000000-0005-0000-0000-000050060000}"/>
    <cellStyle name="Normal 9 11 2" xfId="1542" xr:uid="{00000000-0005-0000-0000-000051060000}"/>
    <cellStyle name="Normal 9 12" xfId="742" xr:uid="{00000000-0005-0000-0000-000052060000}"/>
    <cellStyle name="Normal 9 12 2" xfId="1543" xr:uid="{00000000-0005-0000-0000-000053060000}"/>
    <cellStyle name="Normal 9 13" xfId="743" xr:uid="{00000000-0005-0000-0000-000054060000}"/>
    <cellStyle name="Normal 9 13 2" xfId="1544" xr:uid="{00000000-0005-0000-0000-000055060000}"/>
    <cellStyle name="Normal 9 14" xfId="744" xr:uid="{00000000-0005-0000-0000-000056060000}"/>
    <cellStyle name="Normal 9 14 2" xfId="1545" xr:uid="{00000000-0005-0000-0000-000057060000}"/>
    <cellStyle name="Normal 9 15" xfId="745" xr:uid="{00000000-0005-0000-0000-000058060000}"/>
    <cellStyle name="Normal 9 15 2" xfId="1546" xr:uid="{00000000-0005-0000-0000-000059060000}"/>
    <cellStyle name="Normal 9 16" xfId="746" xr:uid="{00000000-0005-0000-0000-00005A060000}"/>
    <cellStyle name="Normal 9 16 2" xfId="1547" xr:uid="{00000000-0005-0000-0000-00005B060000}"/>
    <cellStyle name="Normal 9 17" xfId="747" xr:uid="{00000000-0005-0000-0000-00005C060000}"/>
    <cellStyle name="Normal 9 17 2" xfId="1548" xr:uid="{00000000-0005-0000-0000-00005D060000}"/>
    <cellStyle name="Normal 9 18" xfId="748" xr:uid="{00000000-0005-0000-0000-00005E060000}"/>
    <cellStyle name="Normal 9 18 2" xfId="1549" xr:uid="{00000000-0005-0000-0000-00005F060000}"/>
    <cellStyle name="Normal 9 19" xfId="749" xr:uid="{00000000-0005-0000-0000-000060060000}"/>
    <cellStyle name="Normal 9 19 2" xfId="1550" xr:uid="{00000000-0005-0000-0000-000061060000}"/>
    <cellStyle name="Normal 9 2" xfId="750" xr:uid="{00000000-0005-0000-0000-000062060000}"/>
    <cellStyle name="Normal 9 2 2" xfId="1551" xr:uid="{00000000-0005-0000-0000-000063060000}"/>
    <cellStyle name="Normal 9 20" xfId="751" xr:uid="{00000000-0005-0000-0000-000064060000}"/>
    <cellStyle name="Normal 9 20 2" xfId="1552" xr:uid="{00000000-0005-0000-0000-000065060000}"/>
    <cellStyle name="Normal 9 21" xfId="752" xr:uid="{00000000-0005-0000-0000-000066060000}"/>
    <cellStyle name="Normal 9 21 2" xfId="1553" xr:uid="{00000000-0005-0000-0000-000067060000}"/>
    <cellStyle name="Normal 9 22" xfId="753" xr:uid="{00000000-0005-0000-0000-000068060000}"/>
    <cellStyle name="Normal 9 22 2" xfId="1554" xr:uid="{00000000-0005-0000-0000-000069060000}"/>
    <cellStyle name="Normal 9 23" xfId="754" xr:uid="{00000000-0005-0000-0000-00006A060000}"/>
    <cellStyle name="Normal 9 23 2" xfId="1555" xr:uid="{00000000-0005-0000-0000-00006B060000}"/>
    <cellStyle name="Normal 9 24" xfId="755" xr:uid="{00000000-0005-0000-0000-00006C060000}"/>
    <cellStyle name="Normal 9 24 2" xfId="1556" xr:uid="{00000000-0005-0000-0000-00006D060000}"/>
    <cellStyle name="Normal 9 25" xfId="756" xr:uid="{00000000-0005-0000-0000-00006E060000}"/>
    <cellStyle name="Normal 9 25 2" xfId="1557" xr:uid="{00000000-0005-0000-0000-00006F060000}"/>
    <cellStyle name="Normal 9 26" xfId="757" xr:uid="{00000000-0005-0000-0000-000070060000}"/>
    <cellStyle name="Normal 9 26 2" xfId="1558" xr:uid="{00000000-0005-0000-0000-000071060000}"/>
    <cellStyle name="Normal 9 27" xfId="758" xr:uid="{00000000-0005-0000-0000-000072060000}"/>
    <cellStyle name="Normal 9 27 2" xfId="1559" xr:uid="{00000000-0005-0000-0000-000073060000}"/>
    <cellStyle name="Normal 9 28" xfId="759" xr:uid="{00000000-0005-0000-0000-000074060000}"/>
    <cellStyle name="Normal 9 28 2" xfId="1560" xr:uid="{00000000-0005-0000-0000-000075060000}"/>
    <cellStyle name="Normal 9 29" xfId="760" xr:uid="{00000000-0005-0000-0000-000076060000}"/>
    <cellStyle name="Normal 9 29 2" xfId="1561" xr:uid="{00000000-0005-0000-0000-000077060000}"/>
    <cellStyle name="Normal 9 3" xfId="761" xr:uid="{00000000-0005-0000-0000-000078060000}"/>
    <cellStyle name="Normal 9 3 2" xfId="1562" xr:uid="{00000000-0005-0000-0000-000079060000}"/>
    <cellStyle name="Normal 9 30" xfId="762" xr:uid="{00000000-0005-0000-0000-00007A060000}"/>
    <cellStyle name="Normal 9 30 2" xfId="1563" xr:uid="{00000000-0005-0000-0000-00007B060000}"/>
    <cellStyle name="Normal 9 31" xfId="763" xr:uid="{00000000-0005-0000-0000-00007C060000}"/>
    <cellStyle name="Normal 9 31 2" xfId="1564" xr:uid="{00000000-0005-0000-0000-00007D060000}"/>
    <cellStyle name="Normal 9 32" xfId="764" xr:uid="{00000000-0005-0000-0000-00007E060000}"/>
    <cellStyle name="Normal 9 32 2" xfId="1565" xr:uid="{00000000-0005-0000-0000-00007F060000}"/>
    <cellStyle name="Normal 9 33" xfId="765" xr:uid="{00000000-0005-0000-0000-000080060000}"/>
    <cellStyle name="Normal 9 33 2" xfId="1566" xr:uid="{00000000-0005-0000-0000-000081060000}"/>
    <cellStyle name="Normal 9 34" xfId="766" xr:uid="{00000000-0005-0000-0000-000082060000}"/>
    <cellStyle name="Normal 9 34 2" xfId="1567" xr:uid="{00000000-0005-0000-0000-000083060000}"/>
    <cellStyle name="Normal 9 35" xfId="767" xr:uid="{00000000-0005-0000-0000-000084060000}"/>
    <cellStyle name="Normal 9 36" xfId="1568" xr:uid="{00000000-0005-0000-0000-000085060000}"/>
    <cellStyle name="Normal 9 37" xfId="131" xr:uid="{00000000-0005-0000-0000-000086060000}"/>
    <cellStyle name="Normal 9 38" xfId="1778" xr:uid="{00000000-0005-0000-0000-000087060000}"/>
    <cellStyle name="Normal 9 4" xfId="768" xr:uid="{00000000-0005-0000-0000-000088060000}"/>
    <cellStyle name="Normal 9 4 2" xfId="1569" xr:uid="{00000000-0005-0000-0000-000089060000}"/>
    <cellStyle name="Normal 9 5" xfId="769" xr:uid="{00000000-0005-0000-0000-00008A060000}"/>
    <cellStyle name="Normal 9 5 2" xfId="1570" xr:uid="{00000000-0005-0000-0000-00008B060000}"/>
    <cellStyle name="Normal 9 6" xfId="770" xr:uid="{00000000-0005-0000-0000-00008C060000}"/>
    <cellStyle name="Normal 9 6 2" xfId="1571" xr:uid="{00000000-0005-0000-0000-00008D060000}"/>
    <cellStyle name="Normal 9 7" xfId="771" xr:uid="{00000000-0005-0000-0000-00008E060000}"/>
    <cellStyle name="Normal 9 7 2" xfId="1572" xr:uid="{00000000-0005-0000-0000-00008F060000}"/>
    <cellStyle name="Normal 9 8" xfId="772" xr:uid="{00000000-0005-0000-0000-000090060000}"/>
    <cellStyle name="Normal 9 8 2" xfId="1573" xr:uid="{00000000-0005-0000-0000-000091060000}"/>
    <cellStyle name="Normal 9 9" xfId="773" xr:uid="{00000000-0005-0000-0000-000092060000}"/>
    <cellStyle name="Normal 9 9 2" xfId="1574" xr:uid="{00000000-0005-0000-0000-000093060000}"/>
    <cellStyle name="Normal_BoilerCalc" xfId="6" xr:uid="{00000000-0005-0000-0000-000094060000}"/>
    <cellStyle name="Normal_NET-12G" xfId="2052" xr:uid="{53B096D5-9EDC-4E10-A36F-14AF53656A6E}"/>
    <cellStyle name="Normal_Sheet1_1" xfId="1780" xr:uid="{00000000-0005-0000-0000-000096060000}"/>
    <cellStyle name="Percent" xfId="11" builtinId="5"/>
    <cellStyle name="Percent (0)" xfId="1575" xr:uid="{00000000-0005-0000-0000-000098060000}"/>
    <cellStyle name="Percent [2]" xfId="133" xr:uid="{00000000-0005-0000-0000-000099060000}"/>
    <cellStyle name="Percent [2] 2" xfId="134" xr:uid="{00000000-0005-0000-0000-00009A060000}"/>
    <cellStyle name="Percent [2] 2 2" xfId="1576" xr:uid="{00000000-0005-0000-0000-00009B060000}"/>
    <cellStyle name="Percent [2] 3" xfId="135" xr:uid="{00000000-0005-0000-0000-00009C060000}"/>
    <cellStyle name="Percent [2] 3 2" xfId="1577" xr:uid="{00000000-0005-0000-0000-00009D060000}"/>
    <cellStyle name="Percent [2] 4" xfId="136" xr:uid="{00000000-0005-0000-0000-00009E060000}"/>
    <cellStyle name="Percent [2] 4 2" xfId="1578" xr:uid="{00000000-0005-0000-0000-00009F060000}"/>
    <cellStyle name="Percent [2] 5" xfId="774" xr:uid="{00000000-0005-0000-0000-0000A0060000}"/>
    <cellStyle name="Percent [2] 5 2" xfId="1579" xr:uid="{00000000-0005-0000-0000-0000A1060000}"/>
    <cellStyle name="Percent [2] 6" xfId="775" xr:uid="{00000000-0005-0000-0000-0000A2060000}"/>
    <cellStyle name="Percent [2] 6 2" xfId="1580" xr:uid="{00000000-0005-0000-0000-0000A3060000}"/>
    <cellStyle name="Percent [2] 7" xfId="776" xr:uid="{00000000-0005-0000-0000-0000A4060000}"/>
    <cellStyle name="Percent [2] 7 2" xfId="1581" xr:uid="{00000000-0005-0000-0000-0000A5060000}"/>
    <cellStyle name="Percent [2] 8" xfId="777" xr:uid="{00000000-0005-0000-0000-0000A6060000}"/>
    <cellStyle name="Percent [2] 8 2" xfId="1582" xr:uid="{00000000-0005-0000-0000-0000A7060000}"/>
    <cellStyle name="Percent 10" xfId="778" xr:uid="{00000000-0005-0000-0000-0000A8060000}"/>
    <cellStyle name="Percent 10 2" xfId="1583" xr:uid="{00000000-0005-0000-0000-0000A9060000}"/>
    <cellStyle name="Percent 11" xfId="779" xr:uid="{00000000-0005-0000-0000-0000AA060000}"/>
    <cellStyle name="Percent 11 2" xfId="1584" xr:uid="{00000000-0005-0000-0000-0000AB060000}"/>
    <cellStyle name="Percent 12" xfId="780" xr:uid="{00000000-0005-0000-0000-0000AC060000}"/>
    <cellStyle name="Percent 12 2" xfId="1585" xr:uid="{00000000-0005-0000-0000-0000AD060000}"/>
    <cellStyle name="Percent 13" xfId="781" xr:uid="{00000000-0005-0000-0000-0000AE060000}"/>
    <cellStyle name="Percent 13 2" xfId="1586" xr:uid="{00000000-0005-0000-0000-0000AF060000}"/>
    <cellStyle name="Percent 14" xfId="782" xr:uid="{00000000-0005-0000-0000-0000B0060000}"/>
    <cellStyle name="Percent 14 2" xfId="1587" xr:uid="{00000000-0005-0000-0000-0000B1060000}"/>
    <cellStyle name="Percent 15" xfId="783" xr:uid="{00000000-0005-0000-0000-0000B2060000}"/>
    <cellStyle name="Percent 15 2" xfId="1588" xr:uid="{00000000-0005-0000-0000-0000B3060000}"/>
    <cellStyle name="Percent 16" xfId="784" xr:uid="{00000000-0005-0000-0000-0000B4060000}"/>
    <cellStyle name="Percent 16 2" xfId="1589" xr:uid="{00000000-0005-0000-0000-0000B5060000}"/>
    <cellStyle name="Percent 17" xfId="785" xr:uid="{00000000-0005-0000-0000-0000B6060000}"/>
    <cellStyle name="Percent 17 2" xfId="1590" xr:uid="{00000000-0005-0000-0000-0000B7060000}"/>
    <cellStyle name="Percent 18" xfId="786" xr:uid="{00000000-0005-0000-0000-0000B8060000}"/>
    <cellStyle name="Percent 19" xfId="787" xr:uid="{00000000-0005-0000-0000-0000B9060000}"/>
    <cellStyle name="Percent 2" xfId="23" xr:uid="{00000000-0005-0000-0000-0000BA060000}"/>
    <cellStyle name="Percent 2 2" xfId="138" xr:uid="{00000000-0005-0000-0000-0000BB060000}"/>
    <cellStyle name="Percent 2 2 2" xfId="1591" xr:uid="{00000000-0005-0000-0000-0000BC060000}"/>
    <cellStyle name="Percent 2 3" xfId="1592" xr:uid="{00000000-0005-0000-0000-0000BD060000}"/>
    <cellStyle name="Percent 2 3 2" xfId="1593" xr:uid="{00000000-0005-0000-0000-0000BE060000}"/>
    <cellStyle name="Percent 2 4" xfId="137" xr:uid="{00000000-0005-0000-0000-0000BF060000}"/>
    <cellStyle name="Percent 2 5" xfId="1798" xr:uid="{00000000-0005-0000-0000-0000C0060000}"/>
    <cellStyle name="Percent 20" xfId="788" xr:uid="{00000000-0005-0000-0000-0000C1060000}"/>
    <cellStyle name="Percent 21" xfId="789" xr:uid="{00000000-0005-0000-0000-0000C2060000}"/>
    <cellStyle name="Percent 22" xfId="790" xr:uid="{00000000-0005-0000-0000-0000C3060000}"/>
    <cellStyle name="Percent 23" xfId="1594" xr:uid="{00000000-0005-0000-0000-0000C4060000}"/>
    <cellStyle name="Percent 24" xfId="1595" xr:uid="{00000000-0005-0000-0000-0000C5060000}"/>
    <cellStyle name="Percent 25" xfId="1596" xr:uid="{00000000-0005-0000-0000-0000C6060000}"/>
    <cellStyle name="Percent 26" xfId="1597" xr:uid="{00000000-0005-0000-0000-0000C7060000}"/>
    <cellStyle name="Percent 27" xfId="1598" xr:uid="{00000000-0005-0000-0000-0000C8060000}"/>
    <cellStyle name="Percent 28" xfId="1599" xr:uid="{00000000-0005-0000-0000-0000C9060000}"/>
    <cellStyle name="Percent 29" xfId="1600" xr:uid="{00000000-0005-0000-0000-0000CA060000}"/>
    <cellStyle name="Percent 3" xfId="139" xr:uid="{00000000-0005-0000-0000-0000CB060000}"/>
    <cellStyle name="Percent 30" xfId="1601" xr:uid="{00000000-0005-0000-0000-0000CC060000}"/>
    <cellStyle name="Percent 31" xfId="1602" xr:uid="{00000000-0005-0000-0000-0000CD060000}"/>
    <cellStyle name="Percent 32" xfId="1769" xr:uid="{00000000-0005-0000-0000-0000CE060000}"/>
    <cellStyle name="Percent 32 2" xfId="2038" xr:uid="{00000000-0005-0000-0000-0000CF060000}"/>
    <cellStyle name="Percent 33" xfId="1771" xr:uid="{00000000-0005-0000-0000-0000D0060000}"/>
    <cellStyle name="Percent 33 2" xfId="2040" xr:uid="{00000000-0005-0000-0000-0000D1060000}"/>
    <cellStyle name="Percent 34" xfId="1740" xr:uid="{00000000-0005-0000-0000-0000D2060000}"/>
    <cellStyle name="Percent 34 2" xfId="2009" xr:uid="{00000000-0005-0000-0000-0000D3060000}"/>
    <cellStyle name="Percent 35" xfId="1775" xr:uid="{00000000-0005-0000-0000-0000D4060000}"/>
    <cellStyle name="Percent 35 2" xfId="2042" xr:uid="{00000000-0005-0000-0000-0000D5060000}"/>
    <cellStyle name="Percent 4" xfId="140" xr:uid="{00000000-0005-0000-0000-0000D6060000}"/>
    <cellStyle name="Percent 5" xfId="791" xr:uid="{00000000-0005-0000-0000-0000D7060000}"/>
    <cellStyle name="Percent 6" xfId="792" xr:uid="{00000000-0005-0000-0000-0000D8060000}"/>
    <cellStyle name="Percent 7" xfId="793" xr:uid="{00000000-0005-0000-0000-0000D9060000}"/>
    <cellStyle name="Percent 8" xfId="794" xr:uid="{00000000-0005-0000-0000-0000DA060000}"/>
    <cellStyle name="Percent 9" xfId="795" xr:uid="{00000000-0005-0000-0000-0000DB060000}"/>
    <cellStyle name="pmxBorderCellsS" xfId="1603" xr:uid="{00000000-0005-0000-0000-0000DC060000}"/>
    <cellStyle name="pmxCategoryHeadingB" xfId="1604" xr:uid="{00000000-0005-0000-0000-0000DD060000}"/>
    <cellStyle name="pmxCategoryHeadingM" xfId="1605" xr:uid="{00000000-0005-0000-0000-0000DE060000}"/>
    <cellStyle name="pmxHeadingB" xfId="1606" xr:uid="{00000000-0005-0000-0000-0000DF060000}"/>
    <cellStyle name="pmxHeadingL" xfId="1607" xr:uid="{00000000-0005-0000-0000-0000E0060000}"/>
    <cellStyle name="pmxHeadingM" xfId="1608" xr:uid="{00000000-0005-0000-0000-0000E1060000}"/>
    <cellStyle name="pmxHeadingS" xfId="1609" xr:uid="{00000000-0005-0000-0000-0000E2060000}"/>
    <cellStyle name="pmxMinorHeadingB" xfId="1610" xr:uid="{00000000-0005-0000-0000-0000E3060000}"/>
    <cellStyle name="pmxMinorHeadingS" xfId="1611" xr:uid="{00000000-0005-0000-0000-0000E4060000}"/>
    <cellStyle name="pmxSubHeadingB" xfId="1612" xr:uid="{00000000-0005-0000-0000-0000E5060000}"/>
    <cellStyle name="pmxSubHeadingM" xfId="1613" xr:uid="{00000000-0005-0000-0000-0000E6060000}"/>
    <cellStyle name="pmxSubSubHeadingB" xfId="1614" xr:uid="{00000000-0005-0000-0000-0000E7060000}"/>
    <cellStyle name="pmxSubSubHeadingM" xfId="1615" xr:uid="{00000000-0005-0000-0000-0000E8060000}"/>
    <cellStyle name="pmxSubSubHeadingS" xfId="1616" xr:uid="{00000000-0005-0000-0000-0000E9060000}"/>
    <cellStyle name="PSChar" xfId="1617" xr:uid="{00000000-0005-0000-0000-0000EA060000}"/>
    <cellStyle name="PSDate" xfId="1618" xr:uid="{00000000-0005-0000-0000-0000EB060000}"/>
    <cellStyle name="PSDec" xfId="1619" xr:uid="{00000000-0005-0000-0000-0000EC060000}"/>
    <cellStyle name="PSHeading" xfId="1620" xr:uid="{00000000-0005-0000-0000-0000ED060000}"/>
    <cellStyle name="PSInt" xfId="1621" xr:uid="{00000000-0005-0000-0000-0000EE060000}"/>
    <cellStyle name="PSSpacer" xfId="1622" xr:uid="{00000000-0005-0000-0000-0000EF060000}"/>
    <cellStyle name="RevList" xfId="1623" xr:uid="{00000000-0005-0000-0000-0000F0060000}"/>
    <cellStyle name="Shade1" xfId="141" xr:uid="{00000000-0005-0000-0000-0000F1060000}"/>
    <cellStyle name="Style 100" xfId="796" xr:uid="{00000000-0005-0000-0000-0000F2060000}"/>
    <cellStyle name="Style 100 2" xfId="1624" xr:uid="{00000000-0005-0000-0000-0000F3060000}"/>
    <cellStyle name="Style 102" xfId="797" xr:uid="{00000000-0005-0000-0000-0000F4060000}"/>
    <cellStyle name="Style 102 2" xfId="1625" xr:uid="{00000000-0005-0000-0000-0000F5060000}"/>
    <cellStyle name="Style 103" xfId="798" xr:uid="{00000000-0005-0000-0000-0000F6060000}"/>
    <cellStyle name="Style 103 2" xfId="1626" xr:uid="{00000000-0005-0000-0000-0000F7060000}"/>
    <cellStyle name="Style 104" xfId="799" xr:uid="{00000000-0005-0000-0000-0000F8060000}"/>
    <cellStyle name="Style 104 2" xfId="1627" xr:uid="{00000000-0005-0000-0000-0000F9060000}"/>
    <cellStyle name="Style 105" xfId="800" xr:uid="{00000000-0005-0000-0000-0000FA060000}"/>
    <cellStyle name="Style 105 2" xfId="1628" xr:uid="{00000000-0005-0000-0000-0000FB060000}"/>
    <cellStyle name="Style 106" xfId="801" xr:uid="{00000000-0005-0000-0000-0000FC060000}"/>
    <cellStyle name="Style 106 2" xfId="1629" xr:uid="{00000000-0005-0000-0000-0000FD060000}"/>
    <cellStyle name="Style 110" xfId="802" xr:uid="{00000000-0005-0000-0000-0000FE060000}"/>
    <cellStyle name="Style 110 2" xfId="1630" xr:uid="{00000000-0005-0000-0000-0000FF060000}"/>
    <cellStyle name="Style 112" xfId="803" xr:uid="{00000000-0005-0000-0000-000000070000}"/>
    <cellStyle name="Style 112 2" xfId="1631" xr:uid="{00000000-0005-0000-0000-000001070000}"/>
    <cellStyle name="Style 114" xfId="804" xr:uid="{00000000-0005-0000-0000-000002070000}"/>
    <cellStyle name="Style 114 2" xfId="1632" xr:uid="{00000000-0005-0000-0000-000003070000}"/>
    <cellStyle name="Style 115" xfId="805" xr:uid="{00000000-0005-0000-0000-000004070000}"/>
    <cellStyle name="Style 115 2" xfId="1633" xr:uid="{00000000-0005-0000-0000-000005070000}"/>
    <cellStyle name="Style 116" xfId="806" xr:uid="{00000000-0005-0000-0000-000006070000}"/>
    <cellStyle name="Style 116 2" xfId="1634" xr:uid="{00000000-0005-0000-0000-000007070000}"/>
    <cellStyle name="Style 117" xfId="807" xr:uid="{00000000-0005-0000-0000-000008070000}"/>
    <cellStyle name="Style 117 2" xfId="1635" xr:uid="{00000000-0005-0000-0000-000009070000}"/>
    <cellStyle name="Style 121" xfId="808" xr:uid="{00000000-0005-0000-0000-00000A070000}"/>
    <cellStyle name="Style 121 2" xfId="1636" xr:uid="{00000000-0005-0000-0000-00000B070000}"/>
    <cellStyle name="Style 123" xfId="809" xr:uid="{00000000-0005-0000-0000-00000C070000}"/>
    <cellStyle name="Style 123 2" xfId="1637" xr:uid="{00000000-0005-0000-0000-00000D070000}"/>
    <cellStyle name="Style 125" xfId="810" xr:uid="{00000000-0005-0000-0000-00000E070000}"/>
    <cellStyle name="Style 125 2" xfId="1638" xr:uid="{00000000-0005-0000-0000-00000F070000}"/>
    <cellStyle name="Style 127" xfId="811" xr:uid="{00000000-0005-0000-0000-000010070000}"/>
    <cellStyle name="Style 127 2" xfId="1639" xr:uid="{00000000-0005-0000-0000-000011070000}"/>
    <cellStyle name="Style 131" xfId="812" xr:uid="{00000000-0005-0000-0000-000012070000}"/>
    <cellStyle name="Style 131 2" xfId="1922" xr:uid="{00000000-0005-0000-0000-000013070000}"/>
    <cellStyle name="Style 133" xfId="813" xr:uid="{00000000-0005-0000-0000-000014070000}"/>
    <cellStyle name="Style 133 2" xfId="1923" xr:uid="{00000000-0005-0000-0000-000015070000}"/>
    <cellStyle name="Style 138" xfId="814" xr:uid="{00000000-0005-0000-0000-000016070000}"/>
    <cellStyle name="Style 138 2" xfId="1640" xr:uid="{00000000-0005-0000-0000-000017070000}"/>
    <cellStyle name="Style 141" xfId="815" xr:uid="{00000000-0005-0000-0000-000018070000}"/>
    <cellStyle name="Style 141 2" xfId="1641" xr:uid="{00000000-0005-0000-0000-000019070000}"/>
    <cellStyle name="Style 21" xfId="816" xr:uid="{00000000-0005-0000-0000-00001A070000}"/>
    <cellStyle name="Style 21 10" xfId="817" xr:uid="{00000000-0005-0000-0000-00001B070000}"/>
    <cellStyle name="Style 21 10 2" xfId="1924" xr:uid="{00000000-0005-0000-0000-00001C070000}"/>
    <cellStyle name="Style 21 2" xfId="818" xr:uid="{00000000-0005-0000-0000-00001D070000}"/>
    <cellStyle name="Style 21 2 2" xfId="1925" xr:uid="{00000000-0005-0000-0000-00001E070000}"/>
    <cellStyle name="Style 21 3" xfId="819" xr:uid="{00000000-0005-0000-0000-00001F070000}"/>
    <cellStyle name="Style 21 3 2" xfId="1926" xr:uid="{00000000-0005-0000-0000-000020070000}"/>
    <cellStyle name="Style 21 4" xfId="820" xr:uid="{00000000-0005-0000-0000-000021070000}"/>
    <cellStyle name="Style 21 4 2" xfId="1927" xr:uid="{00000000-0005-0000-0000-000022070000}"/>
    <cellStyle name="Style 21 5" xfId="821" xr:uid="{00000000-0005-0000-0000-000023070000}"/>
    <cellStyle name="Style 21 5 2" xfId="1928" xr:uid="{00000000-0005-0000-0000-000024070000}"/>
    <cellStyle name="Style 21 6" xfId="822" xr:uid="{00000000-0005-0000-0000-000025070000}"/>
    <cellStyle name="Style 21 6 2" xfId="1929" xr:uid="{00000000-0005-0000-0000-000026070000}"/>
    <cellStyle name="Style 21 7" xfId="823" xr:uid="{00000000-0005-0000-0000-000027070000}"/>
    <cellStyle name="Style 21 7 2" xfId="1930" xr:uid="{00000000-0005-0000-0000-000028070000}"/>
    <cellStyle name="Style 21 8" xfId="824" xr:uid="{00000000-0005-0000-0000-000029070000}"/>
    <cellStyle name="Style 21 8 2" xfId="1931" xr:uid="{00000000-0005-0000-0000-00002A070000}"/>
    <cellStyle name="Style 21 9" xfId="825" xr:uid="{00000000-0005-0000-0000-00002B070000}"/>
    <cellStyle name="Style 21 9 2" xfId="1932" xr:uid="{00000000-0005-0000-0000-00002C070000}"/>
    <cellStyle name="Style 21_(2) GHG Stationary Combustion" xfId="826" xr:uid="{00000000-0005-0000-0000-00002D070000}"/>
    <cellStyle name="Style 22" xfId="827" xr:uid="{00000000-0005-0000-0000-00002E070000}"/>
    <cellStyle name="Style 22 10" xfId="828" xr:uid="{00000000-0005-0000-0000-00002F070000}"/>
    <cellStyle name="Style 22 10 2" xfId="1642" xr:uid="{00000000-0005-0000-0000-000030070000}"/>
    <cellStyle name="Style 22 2" xfId="829" xr:uid="{00000000-0005-0000-0000-000031070000}"/>
    <cellStyle name="Style 22 2 2" xfId="1643" xr:uid="{00000000-0005-0000-0000-000032070000}"/>
    <cellStyle name="Style 22 3" xfId="830" xr:uid="{00000000-0005-0000-0000-000033070000}"/>
    <cellStyle name="Style 22 3 2" xfId="1644" xr:uid="{00000000-0005-0000-0000-000034070000}"/>
    <cellStyle name="Style 22 4" xfId="831" xr:uid="{00000000-0005-0000-0000-000035070000}"/>
    <cellStyle name="Style 22 4 2" xfId="1645" xr:uid="{00000000-0005-0000-0000-000036070000}"/>
    <cellStyle name="Style 22 5" xfId="832" xr:uid="{00000000-0005-0000-0000-000037070000}"/>
    <cellStyle name="Style 22 5 2" xfId="1646" xr:uid="{00000000-0005-0000-0000-000038070000}"/>
    <cellStyle name="Style 22 6" xfId="833" xr:uid="{00000000-0005-0000-0000-000039070000}"/>
    <cellStyle name="Style 22 6 2" xfId="1647" xr:uid="{00000000-0005-0000-0000-00003A070000}"/>
    <cellStyle name="Style 22 7" xfId="834" xr:uid="{00000000-0005-0000-0000-00003B070000}"/>
    <cellStyle name="Style 22 7 2" xfId="1648" xr:uid="{00000000-0005-0000-0000-00003C070000}"/>
    <cellStyle name="Style 22 8" xfId="835" xr:uid="{00000000-0005-0000-0000-00003D070000}"/>
    <cellStyle name="Style 22 8 2" xfId="1649" xr:uid="{00000000-0005-0000-0000-00003E070000}"/>
    <cellStyle name="Style 22 9" xfId="836" xr:uid="{00000000-0005-0000-0000-00003F070000}"/>
    <cellStyle name="Style 22 9 2" xfId="1650" xr:uid="{00000000-0005-0000-0000-000040070000}"/>
    <cellStyle name="Style 22_Thermal Oxidizer Report" xfId="837" xr:uid="{00000000-0005-0000-0000-000041070000}"/>
    <cellStyle name="Style 23" xfId="838" xr:uid="{00000000-0005-0000-0000-000042070000}"/>
    <cellStyle name="Style 23 10" xfId="1651" xr:uid="{00000000-0005-0000-0000-000043070000}"/>
    <cellStyle name="Style 23 2" xfId="839" xr:uid="{00000000-0005-0000-0000-000044070000}"/>
    <cellStyle name="Style 23 2 2" xfId="1652" xr:uid="{00000000-0005-0000-0000-000045070000}"/>
    <cellStyle name="Style 23 3" xfId="840" xr:uid="{00000000-0005-0000-0000-000046070000}"/>
    <cellStyle name="Style 23 3 2" xfId="1653" xr:uid="{00000000-0005-0000-0000-000047070000}"/>
    <cellStyle name="Style 23 4" xfId="841" xr:uid="{00000000-0005-0000-0000-000048070000}"/>
    <cellStyle name="Style 23 4 2" xfId="1654" xr:uid="{00000000-0005-0000-0000-000049070000}"/>
    <cellStyle name="Style 23 5" xfId="842" xr:uid="{00000000-0005-0000-0000-00004A070000}"/>
    <cellStyle name="Style 23 5 2" xfId="1655" xr:uid="{00000000-0005-0000-0000-00004B070000}"/>
    <cellStyle name="Style 23 6" xfId="843" xr:uid="{00000000-0005-0000-0000-00004C070000}"/>
    <cellStyle name="Style 23 6 2" xfId="1656" xr:uid="{00000000-0005-0000-0000-00004D070000}"/>
    <cellStyle name="Style 23 7" xfId="844" xr:uid="{00000000-0005-0000-0000-00004E070000}"/>
    <cellStyle name="Style 23 7 2" xfId="1657" xr:uid="{00000000-0005-0000-0000-00004F070000}"/>
    <cellStyle name="Style 23 8" xfId="845" xr:uid="{00000000-0005-0000-0000-000050070000}"/>
    <cellStyle name="Style 23 8 2" xfId="1658" xr:uid="{00000000-0005-0000-0000-000051070000}"/>
    <cellStyle name="Style 23 9" xfId="846" xr:uid="{00000000-0005-0000-0000-000052070000}"/>
    <cellStyle name="Style 23 9 2" xfId="1659" xr:uid="{00000000-0005-0000-0000-000053070000}"/>
    <cellStyle name="Style 23_2008-07-29 Avery Dennison Emission Calculations Part II - Mobile Combustion" xfId="847" xr:uid="{00000000-0005-0000-0000-000054070000}"/>
    <cellStyle name="Style 24" xfId="848" xr:uid="{00000000-0005-0000-0000-000055070000}"/>
    <cellStyle name="Style 24 10" xfId="849" xr:uid="{00000000-0005-0000-0000-000056070000}"/>
    <cellStyle name="Style 24 10 2" xfId="1933" xr:uid="{00000000-0005-0000-0000-000057070000}"/>
    <cellStyle name="Style 24 11" xfId="1660" xr:uid="{00000000-0005-0000-0000-000058070000}"/>
    <cellStyle name="Style 24 2" xfId="850" xr:uid="{00000000-0005-0000-0000-000059070000}"/>
    <cellStyle name="Style 24 2 2" xfId="1934" xr:uid="{00000000-0005-0000-0000-00005A070000}"/>
    <cellStyle name="Style 24 3" xfId="851" xr:uid="{00000000-0005-0000-0000-00005B070000}"/>
    <cellStyle name="Style 24 3 2" xfId="1935" xr:uid="{00000000-0005-0000-0000-00005C070000}"/>
    <cellStyle name="Style 24 4" xfId="852" xr:uid="{00000000-0005-0000-0000-00005D070000}"/>
    <cellStyle name="Style 24 4 2" xfId="1936" xr:uid="{00000000-0005-0000-0000-00005E070000}"/>
    <cellStyle name="Style 24 5" xfId="853" xr:uid="{00000000-0005-0000-0000-00005F070000}"/>
    <cellStyle name="Style 24 5 2" xfId="1937" xr:uid="{00000000-0005-0000-0000-000060070000}"/>
    <cellStyle name="Style 24 6" xfId="854" xr:uid="{00000000-0005-0000-0000-000061070000}"/>
    <cellStyle name="Style 24 6 2" xfId="1938" xr:uid="{00000000-0005-0000-0000-000062070000}"/>
    <cellStyle name="Style 24 7" xfId="855" xr:uid="{00000000-0005-0000-0000-000063070000}"/>
    <cellStyle name="Style 24 7 2" xfId="1939" xr:uid="{00000000-0005-0000-0000-000064070000}"/>
    <cellStyle name="Style 24 8" xfId="856" xr:uid="{00000000-0005-0000-0000-000065070000}"/>
    <cellStyle name="Style 24 8 2" xfId="1940" xr:uid="{00000000-0005-0000-0000-000066070000}"/>
    <cellStyle name="Style 24 9" xfId="857" xr:uid="{00000000-0005-0000-0000-000067070000}"/>
    <cellStyle name="Style 24 9 2" xfId="1941" xr:uid="{00000000-0005-0000-0000-000068070000}"/>
    <cellStyle name="Style 24_2008-07-29 Avery Dennison Emission Calculations Part II - Mobile Combustion" xfId="858" xr:uid="{00000000-0005-0000-0000-000069070000}"/>
    <cellStyle name="Style 25" xfId="859" xr:uid="{00000000-0005-0000-0000-00006A070000}"/>
    <cellStyle name="Style 25 2" xfId="1661" xr:uid="{00000000-0005-0000-0000-00006B070000}"/>
    <cellStyle name="Style 26" xfId="860" xr:uid="{00000000-0005-0000-0000-00006C070000}"/>
    <cellStyle name="Style 26 10" xfId="1662" xr:uid="{00000000-0005-0000-0000-00006D070000}"/>
    <cellStyle name="Style 26 2" xfId="861" xr:uid="{00000000-0005-0000-0000-00006E070000}"/>
    <cellStyle name="Style 26 2 2" xfId="1663" xr:uid="{00000000-0005-0000-0000-00006F070000}"/>
    <cellStyle name="Style 26 3" xfId="862" xr:uid="{00000000-0005-0000-0000-000070070000}"/>
    <cellStyle name="Style 26 3 2" xfId="1664" xr:uid="{00000000-0005-0000-0000-000071070000}"/>
    <cellStyle name="Style 26 4" xfId="863" xr:uid="{00000000-0005-0000-0000-000072070000}"/>
    <cellStyle name="Style 26 4 2" xfId="1665" xr:uid="{00000000-0005-0000-0000-000073070000}"/>
    <cellStyle name="Style 26 5" xfId="864" xr:uid="{00000000-0005-0000-0000-000074070000}"/>
    <cellStyle name="Style 26 5 2" xfId="1666" xr:uid="{00000000-0005-0000-0000-000075070000}"/>
    <cellStyle name="Style 26 6" xfId="865" xr:uid="{00000000-0005-0000-0000-000076070000}"/>
    <cellStyle name="Style 26 6 2" xfId="1667" xr:uid="{00000000-0005-0000-0000-000077070000}"/>
    <cellStyle name="Style 26 7" xfId="866" xr:uid="{00000000-0005-0000-0000-000078070000}"/>
    <cellStyle name="Style 26 7 2" xfId="1668" xr:uid="{00000000-0005-0000-0000-000079070000}"/>
    <cellStyle name="Style 26 8" xfId="867" xr:uid="{00000000-0005-0000-0000-00007A070000}"/>
    <cellStyle name="Style 26 8 2" xfId="1669" xr:uid="{00000000-0005-0000-0000-00007B070000}"/>
    <cellStyle name="Style 26 9" xfId="868" xr:uid="{00000000-0005-0000-0000-00007C070000}"/>
    <cellStyle name="Style 26 9 2" xfId="1670" xr:uid="{00000000-0005-0000-0000-00007D070000}"/>
    <cellStyle name="Style 26_Thermal Oxidizer Report" xfId="869" xr:uid="{00000000-0005-0000-0000-00007E070000}"/>
    <cellStyle name="Style 27" xfId="870" xr:uid="{00000000-0005-0000-0000-00007F070000}"/>
    <cellStyle name="Style 27 2" xfId="1671" xr:uid="{00000000-0005-0000-0000-000080070000}"/>
    <cellStyle name="Style 28" xfId="871" xr:uid="{00000000-0005-0000-0000-000081070000}"/>
    <cellStyle name="Style 28 10" xfId="1672" xr:uid="{00000000-0005-0000-0000-000082070000}"/>
    <cellStyle name="Style 28 2" xfId="872" xr:uid="{00000000-0005-0000-0000-000083070000}"/>
    <cellStyle name="Style 28 2 2" xfId="1673" xr:uid="{00000000-0005-0000-0000-000084070000}"/>
    <cellStyle name="Style 28 3" xfId="873" xr:uid="{00000000-0005-0000-0000-000085070000}"/>
    <cellStyle name="Style 28 3 2" xfId="1674" xr:uid="{00000000-0005-0000-0000-000086070000}"/>
    <cellStyle name="Style 28 4" xfId="874" xr:uid="{00000000-0005-0000-0000-000087070000}"/>
    <cellStyle name="Style 28 4 2" xfId="1675" xr:uid="{00000000-0005-0000-0000-000088070000}"/>
    <cellStyle name="Style 28 5" xfId="875" xr:uid="{00000000-0005-0000-0000-000089070000}"/>
    <cellStyle name="Style 28 5 2" xfId="1676" xr:uid="{00000000-0005-0000-0000-00008A070000}"/>
    <cellStyle name="Style 28 6" xfId="876" xr:uid="{00000000-0005-0000-0000-00008B070000}"/>
    <cellStyle name="Style 28 6 2" xfId="1677" xr:uid="{00000000-0005-0000-0000-00008C070000}"/>
    <cellStyle name="Style 28 7" xfId="877" xr:uid="{00000000-0005-0000-0000-00008D070000}"/>
    <cellStyle name="Style 28 7 2" xfId="1678" xr:uid="{00000000-0005-0000-0000-00008E070000}"/>
    <cellStyle name="Style 28 8" xfId="878" xr:uid="{00000000-0005-0000-0000-00008F070000}"/>
    <cellStyle name="Style 28 8 2" xfId="1679" xr:uid="{00000000-0005-0000-0000-000090070000}"/>
    <cellStyle name="Style 28 9" xfId="879" xr:uid="{00000000-0005-0000-0000-000091070000}"/>
    <cellStyle name="Style 28 9 2" xfId="1680" xr:uid="{00000000-0005-0000-0000-000092070000}"/>
    <cellStyle name="Style 29" xfId="880" xr:uid="{00000000-0005-0000-0000-000093070000}"/>
    <cellStyle name="Style 29 2" xfId="1681" xr:uid="{00000000-0005-0000-0000-000094070000}"/>
    <cellStyle name="Style 30" xfId="881" xr:uid="{00000000-0005-0000-0000-000095070000}"/>
    <cellStyle name="Style 30 10" xfId="1682" xr:uid="{00000000-0005-0000-0000-000096070000}"/>
    <cellStyle name="Style 30 2" xfId="882" xr:uid="{00000000-0005-0000-0000-000097070000}"/>
    <cellStyle name="Style 30 2 2" xfId="1683" xr:uid="{00000000-0005-0000-0000-000098070000}"/>
    <cellStyle name="Style 30 3" xfId="883" xr:uid="{00000000-0005-0000-0000-000099070000}"/>
    <cellStyle name="Style 30 3 2" xfId="1684" xr:uid="{00000000-0005-0000-0000-00009A070000}"/>
    <cellStyle name="Style 30 4" xfId="884" xr:uid="{00000000-0005-0000-0000-00009B070000}"/>
    <cellStyle name="Style 30 4 2" xfId="1685" xr:uid="{00000000-0005-0000-0000-00009C070000}"/>
    <cellStyle name="Style 30 5" xfId="885" xr:uid="{00000000-0005-0000-0000-00009D070000}"/>
    <cellStyle name="Style 30 5 2" xfId="1686" xr:uid="{00000000-0005-0000-0000-00009E070000}"/>
    <cellStyle name="Style 30 6" xfId="886" xr:uid="{00000000-0005-0000-0000-00009F070000}"/>
    <cellStyle name="Style 30 6 2" xfId="1687" xr:uid="{00000000-0005-0000-0000-0000A0070000}"/>
    <cellStyle name="Style 30 7" xfId="887" xr:uid="{00000000-0005-0000-0000-0000A1070000}"/>
    <cellStyle name="Style 30 7 2" xfId="1688" xr:uid="{00000000-0005-0000-0000-0000A2070000}"/>
    <cellStyle name="Style 30 8" xfId="888" xr:uid="{00000000-0005-0000-0000-0000A3070000}"/>
    <cellStyle name="Style 30 8 2" xfId="1689" xr:uid="{00000000-0005-0000-0000-0000A4070000}"/>
    <cellStyle name="Style 30 9" xfId="889" xr:uid="{00000000-0005-0000-0000-0000A5070000}"/>
    <cellStyle name="Style 30 9 2" xfId="1690" xr:uid="{00000000-0005-0000-0000-0000A6070000}"/>
    <cellStyle name="Style 31" xfId="890" xr:uid="{00000000-0005-0000-0000-0000A7070000}"/>
    <cellStyle name="Style 31 2" xfId="891" xr:uid="{00000000-0005-0000-0000-0000A8070000}"/>
    <cellStyle name="Style 31 2 2" xfId="1691" xr:uid="{00000000-0005-0000-0000-0000A9070000}"/>
    <cellStyle name="Style 31 3" xfId="892" xr:uid="{00000000-0005-0000-0000-0000AA070000}"/>
    <cellStyle name="Style 31 3 2" xfId="1692" xr:uid="{00000000-0005-0000-0000-0000AB070000}"/>
    <cellStyle name="Style 31 4" xfId="893" xr:uid="{00000000-0005-0000-0000-0000AC070000}"/>
    <cellStyle name="Style 31 4 2" xfId="1693" xr:uid="{00000000-0005-0000-0000-0000AD070000}"/>
    <cellStyle name="Style 31 5" xfId="894" xr:uid="{00000000-0005-0000-0000-0000AE070000}"/>
    <cellStyle name="Style 31 5 2" xfId="1694" xr:uid="{00000000-0005-0000-0000-0000AF070000}"/>
    <cellStyle name="Style 31 6" xfId="895" xr:uid="{00000000-0005-0000-0000-0000B0070000}"/>
    <cellStyle name="Style 31 6 2" xfId="1695" xr:uid="{00000000-0005-0000-0000-0000B1070000}"/>
    <cellStyle name="Style 31 7" xfId="896" xr:uid="{00000000-0005-0000-0000-0000B2070000}"/>
    <cellStyle name="Style 31 7 2" xfId="1696" xr:uid="{00000000-0005-0000-0000-0000B3070000}"/>
    <cellStyle name="Style 31 8" xfId="897" xr:uid="{00000000-0005-0000-0000-0000B4070000}"/>
    <cellStyle name="Style 31 8 2" xfId="1697" xr:uid="{00000000-0005-0000-0000-0000B5070000}"/>
    <cellStyle name="Style 31 9" xfId="898" xr:uid="{00000000-0005-0000-0000-0000B6070000}"/>
    <cellStyle name="Style 31 9 2" xfId="1698" xr:uid="{00000000-0005-0000-0000-0000B7070000}"/>
    <cellStyle name="Style 32" xfId="899" xr:uid="{00000000-0005-0000-0000-0000B8070000}"/>
    <cellStyle name="Style 32 2" xfId="1699" xr:uid="{00000000-0005-0000-0000-0000B9070000}"/>
    <cellStyle name="Style 34" xfId="900" xr:uid="{00000000-0005-0000-0000-0000BA070000}"/>
    <cellStyle name="Style 34 2" xfId="1700" xr:uid="{00000000-0005-0000-0000-0000BB070000}"/>
    <cellStyle name="Style 40" xfId="901" xr:uid="{00000000-0005-0000-0000-0000BC070000}"/>
    <cellStyle name="Style 40 2" xfId="1701" xr:uid="{00000000-0005-0000-0000-0000BD070000}"/>
    <cellStyle name="Style 41" xfId="902" xr:uid="{00000000-0005-0000-0000-0000BE070000}"/>
    <cellStyle name="Style 41 2" xfId="1702" xr:uid="{00000000-0005-0000-0000-0000BF070000}"/>
    <cellStyle name="Style 43" xfId="903" xr:uid="{00000000-0005-0000-0000-0000C0070000}"/>
    <cellStyle name="Style 43 2" xfId="1703" xr:uid="{00000000-0005-0000-0000-0000C1070000}"/>
    <cellStyle name="Style 47" xfId="904" xr:uid="{00000000-0005-0000-0000-0000C2070000}"/>
    <cellStyle name="Style 47 2" xfId="1704" xr:uid="{00000000-0005-0000-0000-0000C3070000}"/>
    <cellStyle name="Style 49" xfId="905" xr:uid="{00000000-0005-0000-0000-0000C4070000}"/>
    <cellStyle name="Style 49 2" xfId="1705" xr:uid="{00000000-0005-0000-0000-0000C5070000}"/>
    <cellStyle name="Style 75" xfId="906" xr:uid="{00000000-0005-0000-0000-0000C6070000}"/>
    <cellStyle name="Style 75 2" xfId="1706" xr:uid="{00000000-0005-0000-0000-0000C7070000}"/>
    <cellStyle name="Style 76" xfId="907" xr:uid="{00000000-0005-0000-0000-0000C8070000}"/>
    <cellStyle name="Style 76 2" xfId="1707" xr:uid="{00000000-0005-0000-0000-0000C9070000}"/>
    <cellStyle name="Style 77" xfId="908" xr:uid="{00000000-0005-0000-0000-0000CA070000}"/>
    <cellStyle name="Style 77 2" xfId="1708" xr:uid="{00000000-0005-0000-0000-0000CB070000}"/>
    <cellStyle name="Style 78" xfId="909" xr:uid="{00000000-0005-0000-0000-0000CC070000}"/>
    <cellStyle name="Style 78 2" xfId="1709" xr:uid="{00000000-0005-0000-0000-0000CD070000}"/>
    <cellStyle name="Style 82" xfId="910" xr:uid="{00000000-0005-0000-0000-0000CE070000}"/>
    <cellStyle name="Style 82 2" xfId="1710" xr:uid="{00000000-0005-0000-0000-0000CF070000}"/>
    <cellStyle name="Style 83" xfId="911" xr:uid="{00000000-0005-0000-0000-0000D0070000}"/>
    <cellStyle name="Style 83 2" xfId="1711" xr:uid="{00000000-0005-0000-0000-0000D1070000}"/>
    <cellStyle name="Style 84" xfId="912" xr:uid="{00000000-0005-0000-0000-0000D2070000}"/>
    <cellStyle name="Style 84 2" xfId="1712" xr:uid="{00000000-0005-0000-0000-0000D3070000}"/>
    <cellStyle name="Style 85" xfId="913" xr:uid="{00000000-0005-0000-0000-0000D4070000}"/>
    <cellStyle name="Style 85 2" xfId="1713" xr:uid="{00000000-0005-0000-0000-0000D5070000}"/>
    <cellStyle name="Style 86" xfId="914" xr:uid="{00000000-0005-0000-0000-0000D6070000}"/>
    <cellStyle name="Style 86 2" xfId="1714" xr:uid="{00000000-0005-0000-0000-0000D7070000}"/>
    <cellStyle name="Style 88" xfId="915" xr:uid="{00000000-0005-0000-0000-0000D8070000}"/>
    <cellStyle name="Style 88 2" xfId="1715" xr:uid="{00000000-0005-0000-0000-0000D9070000}"/>
    <cellStyle name="Style 89" xfId="916" xr:uid="{00000000-0005-0000-0000-0000DA070000}"/>
    <cellStyle name="Style 89 2" xfId="1716" xr:uid="{00000000-0005-0000-0000-0000DB070000}"/>
    <cellStyle name="Style 91" xfId="917" xr:uid="{00000000-0005-0000-0000-0000DC070000}"/>
    <cellStyle name="Style 91 2" xfId="1717" xr:uid="{00000000-0005-0000-0000-0000DD070000}"/>
    <cellStyle name="Style 93" xfId="918" xr:uid="{00000000-0005-0000-0000-0000DE070000}"/>
    <cellStyle name="Style 93 2" xfId="1718" xr:uid="{00000000-0005-0000-0000-0000DF070000}"/>
    <cellStyle name="Style 94" xfId="919" xr:uid="{00000000-0005-0000-0000-0000E0070000}"/>
    <cellStyle name="Style 94 2" xfId="1719" xr:uid="{00000000-0005-0000-0000-0000E1070000}"/>
    <cellStyle name="Style 95" xfId="920" xr:uid="{00000000-0005-0000-0000-0000E2070000}"/>
    <cellStyle name="Style 95 2" xfId="1720" xr:uid="{00000000-0005-0000-0000-0000E3070000}"/>
    <cellStyle name="Style 96" xfId="921" xr:uid="{00000000-0005-0000-0000-0000E4070000}"/>
    <cellStyle name="Style 96 2" xfId="1721" xr:uid="{00000000-0005-0000-0000-0000E5070000}"/>
    <cellStyle name="Subtotal" xfId="1722" xr:uid="{00000000-0005-0000-0000-0000E6070000}"/>
    <cellStyle name="Total 10" xfId="922" xr:uid="{00000000-0005-0000-0000-0000E7070000}"/>
    <cellStyle name="Total 10 2" xfId="923" xr:uid="{00000000-0005-0000-0000-0000E8070000}"/>
    <cellStyle name="Total 10 2 2" xfId="1723" xr:uid="{00000000-0005-0000-0000-0000E9070000}"/>
    <cellStyle name="Total 10 3" xfId="1724" xr:uid="{00000000-0005-0000-0000-0000EA070000}"/>
    <cellStyle name="Total 11" xfId="924" xr:uid="{00000000-0005-0000-0000-0000EB070000}"/>
    <cellStyle name="Total 11 2" xfId="925" xr:uid="{00000000-0005-0000-0000-0000EC070000}"/>
    <cellStyle name="Total 11 2 2" xfId="1725" xr:uid="{00000000-0005-0000-0000-0000ED070000}"/>
    <cellStyle name="Total 11 3" xfId="1726" xr:uid="{00000000-0005-0000-0000-0000EE070000}"/>
    <cellStyle name="Total 12" xfId="142" xr:uid="{00000000-0005-0000-0000-0000EF070000}"/>
    <cellStyle name="Total 2" xfId="143" xr:uid="{00000000-0005-0000-0000-0000F0070000}"/>
    <cellStyle name="Total 2 2" xfId="1727" xr:uid="{00000000-0005-0000-0000-0000F1070000}"/>
    <cellStyle name="Total 3" xfId="144" xr:uid="{00000000-0005-0000-0000-0000F2070000}"/>
    <cellStyle name="Total 3 2" xfId="1728" xr:uid="{00000000-0005-0000-0000-0000F3070000}"/>
    <cellStyle name="Total 4" xfId="145" xr:uid="{00000000-0005-0000-0000-0000F4070000}"/>
    <cellStyle name="Total 4 2" xfId="1729" xr:uid="{00000000-0005-0000-0000-0000F5070000}"/>
    <cellStyle name="Total 5" xfId="926" xr:uid="{00000000-0005-0000-0000-0000F6070000}"/>
    <cellStyle name="Total 5 2" xfId="1730" xr:uid="{00000000-0005-0000-0000-0000F7070000}"/>
    <cellStyle name="Total 6" xfId="927" xr:uid="{00000000-0005-0000-0000-0000F8070000}"/>
    <cellStyle name="Total 6 2" xfId="1731" xr:uid="{00000000-0005-0000-0000-0000F9070000}"/>
    <cellStyle name="Total 7" xfId="928" xr:uid="{00000000-0005-0000-0000-0000FA070000}"/>
    <cellStyle name="Total 7 2" xfId="1732" xr:uid="{00000000-0005-0000-0000-0000FB070000}"/>
    <cellStyle name="Total 8" xfId="929" xr:uid="{00000000-0005-0000-0000-0000FC070000}"/>
    <cellStyle name="Total 8 2" xfId="1733" xr:uid="{00000000-0005-0000-0000-0000FD070000}"/>
    <cellStyle name="Total 9" xfId="930" xr:uid="{00000000-0005-0000-0000-0000FE070000}"/>
    <cellStyle name="Total 9 2" xfId="931" xr:uid="{00000000-0005-0000-0000-0000FF070000}"/>
    <cellStyle name="Total 9 2 2" xfId="1734" xr:uid="{00000000-0005-0000-0000-000000080000}"/>
    <cellStyle name="Total 9 3" xfId="1735" xr:uid="{00000000-0005-0000-0000-000001080000}"/>
    <cellStyle name="Unprot" xfId="1736" xr:uid="{00000000-0005-0000-0000-000002080000}"/>
    <cellStyle name="Unprot$" xfId="1737" xr:uid="{00000000-0005-0000-0000-000003080000}"/>
    <cellStyle name="Unprot_CurrencySKorea" xfId="1738" xr:uid="{00000000-0005-0000-0000-000004080000}"/>
    <cellStyle name="Unprotect" xfId="1739" xr:uid="{00000000-0005-0000-0000-000005080000}"/>
  </cellStyles>
  <dxfs count="14">
    <dxf>
      <numFmt numFmtId="15" formatCode="0.00E+00"/>
    </dxf>
    <dxf>
      <numFmt numFmtId="15" formatCode="0.00E+00"/>
    </dxf>
    <dxf>
      <numFmt numFmtId="15" formatCode="0.00E+00"/>
    </dxf>
    <dxf>
      <numFmt numFmtId="15" formatCode="0.00E+00"/>
    </dxf>
    <dxf>
      <numFmt numFmtId="15" formatCode="0.00E+00"/>
    </dxf>
    <dxf>
      <numFmt numFmtId="15" formatCode="0.00E+00"/>
    </dxf>
    <dxf>
      <numFmt numFmtId="15" formatCode="0.00E+00"/>
    </dxf>
    <dxf>
      <numFmt numFmtId="15" formatCode="0.00E+00"/>
    </dxf>
    <dxf>
      <numFmt numFmtId="15" formatCode="0.00E+00"/>
    </dxf>
    <dxf>
      <numFmt numFmtId="15" formatCode="0.00E+00"/>
    </dxf>
    <dxf>
      <numFmt numFmtId="15" formatCode="0.00E+00"/>
    </dxf>
    <dxf>
      <numFmt numFmtId="15" formatCode="0.00E+00"/>
    </dxf>
    <dxf>
      <numFmt numFmtId="15" formatCode="0.00E+00"/>
    </dxf>
    <dxf>
      <font>
        <color rgb="FF9C0006"/>
      </font>
      <fill>
        <patternFill>
          <bgColor rgb="FFFFC7CE"/>
        </patternFill>
      </fill>
    </dxf>
  </dxfs>
  <tableStyles count="0" defaultTableStyle="TableStyleMedium2" defaultPivotStyle="PivotStyleLight16"/>
  <colors>
    <mruColors>
      <color rgb="FFFF3399"/>
      <color rgb="FFFF99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257175</xdr:colOff>
          <xdr:row>43</xdr:row>
          <xdr:rowOff>19050</xdr:rowOff>
        </xdr:from>
        <xdr:to>
          <xdr:col>2</xdr:col>
          <xdr:colOff>561975</xdr:colOff>
          <xdr:row>46</xdr:row>
          <xdr:rowOff>19050</xdr:rowOff>
        </xdr:to>
        <xdr:sp macro="" textlink="">
          <xdr:nvSpPr>
            <xdr:cNvPr id="15362" name="Picture 1" hidden="1">
              <a:extLst>
                <a:ext uri="{63B3BB69-23CF-44E3-9099-C40C66FF867C}">
                  <a14:compatExt spid="_x0000_s15362"/>
                </a:ext>
                <a:ext uri="{FF2B5EF4-FFF2-40B4-BE49-F238E27FC236}">
                  <a16:creationId xmlns:a16="http://schemas.microsoft.com/office/drawing/2014/main" id="{00000000-0008-0000-05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257175</xdr:colOff>
          <xdr:row>43</xdr:row>
          <xdr:rowOff>19050</xdr:rowOff>
        </xdr:from>
        <xdr:to>
          <xdr:col>2</xdr:col>
          <xdr:colOff>561975</xdr:colOff>
          <xdr:row>46</xdr:row>
          <xdr:rowOff>19050</xdr:rowOff>
        </xdr:to>
        <xdr:sp macro="" textlink="">
          <xdr:nvSpPr>
            <xdr:cNvPr id="15363" name="Object 3" hidden="1">
              <a:extLst>
                <a:ext uri="{63B3BB69-23CF-44E3-9099-C40C66FF867C}">
                  <a14:compatExt spid="_x0000_s15363"/>
                </a:ext>
                <a:ext uri="{FF2B5EF4-FFF2-40B4-BE49-F238E27FC236}">
                  <a16:creationId xmlns:a16="http://schemas.microsoft.com/office/drawing/2014/main" id="{00000000-0008-0000-05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6.bin"/><Relationship Id="rId6" Type="http://schemas.openxmlformats.org/officeDocument/2006/relationships/oleObject" Target="../embeddings/oleObject2.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B1:Y54"/>
  <sheetViews>
    <sheetView zoomScale="150" zoomScaleNormal="150" zoomScaleSheetLayoutView="140" workbookViewId="0">
      <selection activeCell="B6" sqref="B6"/>
    </sheetView>
  </sheetViews>
  <sheetFormatPr defaultRowHeight="12.75"/>
  <cols>
    <col min="1" max="1" width="2.7109375" style="267" customWidth="1"/>
    <col min="2" max="2" width="28.7109375" style="267" customWidth="1"/>
    <col min="3" max="3" width="19.85546875" style="267" customWidth="1"/>
    <col min="4" max="6" width="15.7109375" style="268" customWidth="1"/>
    <col min="7" max="7" width="13.85546875" style="268" customWidth="1"/>
    <col min="8" max="8" width="15.7109375" style="268" customWidth="1"/>
    <col min="9" max="9" width="4" style="268" customWidth="1"/>
    <col min="10" max="10" width="14.7109375" style="268" customWidth="1"/>
    <col min="11" max="11" width="15" style="269" customWidth="1"/>
    <col min="12" max="253" width="9.140625" style="267"/>
    <col min="254" max="254" width="1.7109375" style="267" customWidth="1"/>
    <col min="255" max="255" width="17.28515625" style="267" customWidth="1"/>
    <col min="256" max="256" width="15.140625" style="267" customWidth="1"/>
    <col min="257" max="257" width="12.7109375" style="267" customWidth="1"/>
    <col min="258" max="258" width="11.5703125" style="267" customWidth="1"/>
    <col min="259" max="259" width="12.140625" style="267" customWidth="1"/>
    <col min="260" max="260" width="13.42578125" style="267" customWidth="1"/>
    <col min="261" max="262" width="12.140625" style="267" customWidth="1"/>
    <col min="263" max="263" width="14.28515625" style="267" customWidth="1"/>
    <col min="264" max="265" width="15.28515625" style="267" customWidth="1"/>
    <col min="266" max="266" width="16.140625" style="267" customWidth="1"/>
    <col min="267" max="267" width="12.85546875" style="267" customWidth="1"/>
    <col min="268" max="509" width="9.140625" style="267"/>
    <col min="510" max="510" width="1.7109375" style="267" customWidth="1"/>
    <col min="511" max="511" width="17.28515625" style="267" customWidth="1"/>
    <col min="512" max="512" width="15.140625" style="267" customWidth="1"/>
    <col min="513" max="513" width="12.7109375" style="267" customWidth="1"/>
    <col min="514" max="514" width="11.5703125" style="267" customWidth="1"/>
    <col min="515" max="515" width="12.140625" style="267" customWidth="1"/>
    <col min="516" max="516" width="13.42578125" style="267" customWidth="1"/>
    <col min="517" max="518" width="12.140625" style="267" customWidth="1"/>
    <col min="519" max="519" width="14.28515625" style="267" customWidth="1"/>
    <col min="520" max="521" width="15.28515625" style="267" customWidth="1"/>
    <col min="522" max="522" width="16.140625" style="267" customWidth="1"/>
    <col min="523" max="523" width="12.85546875" style="267" customWidth="1"/>
    <col min="524" max="765" width="9.140625" style="267"/>
    <col min="766" max="766" width="1.7109375" style="267" customWidth="1"/>
    <col min="767" max="767" width="17.28515625" style="267" customWidth="1"/>
    <col min="768" max="768" width="15.140625" style="267" customWidth="1"/>
    <col min="769" max="769" width="12.7109375" style="267" customWidth="1"/>
    <col min="770" max="770" width="11.5703125" style="267" customWidth="1"/>
    <col min="771" max="771" width="12.140625" style="267" customWidth="1"/>
    <col min="772" max="772" width="13.42578125" style="267" customWidth="1"/>
    <col min="773" max="774" width="12.140625" style="267" customWidth="1"/>
    <col min="775" max="775" width="14.28515625" style="267" customWidth="1"/>
    <col min="776" max="777" width="15.28515625" style="267" customWidth="1"/>
    <col min="778" max="778" width="16.140625" style="267" customWidth="1"/>
    <col min="779" max="779" width="12.85546875" style="267" customWidth="1"/>
    <col min="780" max="1021" width="9.140625" style="267"/>
    <col min="1022" max="1022" width="1.7109375" style="267" customWidth="1"/>
    <col min="1023" max="1023" width="17.28515625" style="267" customWidth="1"/>
    <col min="1024" max="1024" width="15.140625" style="267" customWidth="1"/>
    <col min="1025" max="1025" width="12.7109375" style="267" customWidth="1"/>
    <col min="1026" max="1026" width="11.5703125" style="267" customWidth="1"/>
    <col min="1027" max="1027" width="12.140625" style="267" customWidth="1"/>
    <col min="1028" max="1028" width="13.42578125" style="267" customWidth="1"/>
    <col min="1029" max="1030" width="12.140625" style="267" customWidth="1"/>
    <col min="1031" max="1031" width="14.28515625" style="267" customWidth="1"/>
    <col min="1032" max="1033" width="15.28515625" style="267" customWidth="1"/>
    <col min="1034" max="1034" width="16.140625" style="267" customWidth="1"/>
    <col min="1035" max="1035" width="12.85546875" style="267" customWidth="1"/>
    <col min="1036" max="1277" width="9.140625" style="267"/>
    <col min="1278" max="1278" width="1.7109375" style="267" customWidth="1"/>
    <col min="1279" max="1279" width="17.28515625" style="267" customWidth="1"/>
    <col min="1280" max="1280" width="15.140625" style="267" customWidth="1"/>
    <col min="1281" max="1281" width="12.7109375" style="267" customWidth="1"/>
    <col min="1282" max="1282" width="11.5703125" style="267" customWidth="1"/>
    <col min="1283" max="1283" width="12.140625" style="267" customWidth="1"/>
    <col min="1284" max="1284" width="13.42578125" style="267" customWidth="1"/>
    <col min="1285" max="1286" width="12.140625" style="267" customWidth="1"/>
    <col min="1287" max="1287" width="14.28515625" style="267" customWidth="1"/>
    <col min="1288" max="1289" width="15.28515625" style="267" customWidth="1"/>
    <col min="1290" max="1290" width="16.140625" style="267" customWidth="1"/>
    <col min="1291" max="1291" width="12.85546875" style="267" customWidth="1"/>
    <col min="1292" max="1533" width="9.140625" style="267"/>
    <col min="1534" max="1534" width="1.7109375" style="267" customWidth="1"/>
    <col min="1535" max="1535" width="17.28515625" style="267" customWidth="1"/>
    <col min="1536" max="1536" width="15.140625" style="267" customWidth="1"/>
    <col min="1537" max="1537" width="12.7109375" style="267" customWidth="1"/>
    <col min="1538" max="1538" width="11.5703125" style="267" customWidth="1"/>
    <col min="1539" max="1539" width="12.140625" style="267" customWidth="1"/>
    <col min="1540" max="1540" width="13.42578125" style="267" customWidth="1"/>
    <col min="1541" max="1542" width="12.140625" style="267" customWidth="1"/>
    <col min="1543" max="1543" width="14.28515625" style="267" customWidth="1"/>
    <col min="1544" max="1545" width="15.28515625" style="267" customWidth="1"/>
    <col min="1546" max="1546" width="16.140625" style="267" customWidth="1"/>
    <col min="1547" max="1547" width="12.85546875" style="267" customWidth="1"/>
    <col min="1548" max="1789" width="9.140625" style="267"/>
    <col min="1790" max="1790" width="1.7109375" style="267" customWidth="1"/>
    <col min="1791" max="1791" width="17.28515625" style="267" customWidth="1"/>
    <col min="1792" max="1792" width="15.140625" style="267" customWidth="1"/>
    <col min="1793" max="1793" width="12.7109375" style="267" customWidth="1"/>
    <col min="1794" max="1794" width="11.5703125" style="267" customWidth="1"/>
    <col min="1795" max="1795" width="12.140625" style="267" customWidth="1"/>
    <col min="1796" max="1796" width="13.42578125" style="267" customWidth="1"/>
    <col min="1797" max="1798" width="12.140625" style="267" customWidth="1"/>
    <col min="1799" max="1799" width="14.28515625" style="267" customWidth="1"/>
    <col min="1800" max="1801" width="15.28515625" style="267" customWidth="1"/>
    <col min="1802" max="1802" width="16.140625" style="267" customWidth="1"/>
    <col min="1803" max="1803" width="12.85546875" style="267" customWidth="1"/>
    <col min="1804" max="2045" width="9.140625" style="267"/>
    <col min="2046" max="2046" width="1.7109375" style="267" customWidth="1"/>
    <col min="2047" max="2047" width="17.28515625" style="267" customWidth="1"/>
    <col min="2048" max="2048" width="15.140625" style="267" customWidth="1"/>
    <col min="2049" max="2049" width="12.7109375" style="267" customWidth="1"/>
    <col min="2050" max="2050" width="11.5703125" style="267" customWidth="1"/>
    <col min="2051" max="2051" width="12.140625" style="267" customWidth="1"/>
    <col min="2052" max="2052" width="13.42578125" style="267" customWidth="1"/>
    <col min="2053" max="2054" width="12.140625" style="267" customWidth="1"/>
    <col min="2055" max="2055" width="14.28515625" style="267" customWidth="1"/>
    <col min="2056" max="2057" width="15.28515625" style="267" customWidth="1"/>
    <col min="2058" max="2058" width="16.140625" style="267" customWidth="1"/>
    <col min="2059" max="2059" width="12.85546875" style="267" customWidth="1"/>
    <col min="2060" max="2301" width="9.140625" style="267"/>
    <col min="2302" max="2302" width="1.7109375" style="267" customWidth="1"/>
    <col min="2303" max="2303" width="17.28515625" style="267" customWidth="1"/>
    <col min="2304" max="2304" width="15.140625" style="267" customWidth="1"/>
    <col min="2305" max="2305" width="12.7109375" style="267" customWidth="1"/>
    <col min="2306" max="2306" width="11.5703125" style="267" customWidth="1"/>
    <col min="2307" max="2307" width="12.140625" style="267" customWidth="1"/>
    <col min="2308" max="2308" width="13.42578125" style="267" customWidth="1"/>
    <col min="2309" max="2310" width="12.140625" style="267" customWidth="1"/>
    <col min="2311" max="2311" width="14.28515625" style="267" customWidth="1"/>
    <col min="2312" max="2313" width="15.28515625" style="267" customWidth="1"/>
    <col min="2314" max="2314" width="16.140625" style="267" customWidth="1"/>
    <col min="2315" max="2315" width="12.85546875" style="267" customWidth="1"/>
    <col min="2316" max="2557" width="9.140625" style="267"/>
    <col min="2558" max="2558" width="1.7109375" style="267" customWidth="1"/>
    <col min="2559" max="2559" width="17.28515625" style="267" customWidth="1"/>
    <col min="2560" max="2560" width="15.140625" style="267" customWidth="1"/>
    <col min="2561" max="2561" width="12.7109375" style="267" customWidth="1"/>
    <col min="2562" max="2562" width="11.5703125" style="267" customWidth="1"/>
    <col min="2563" max="2563" width="12.140625" style="267" customWidth="1"/>
    <col min="2564" max="2564" width="13.42578125" style="267" customWidth="1"/>
    <col min="2565" max="2566" width="12.140625" style="267" customWidth="1"/>
    <col min="2567" max="2567" width="14.28515625" style="267" customWidth="1"/>
    <col min="2568" max="2569" width="15.28515625" style="267" customWidth="1"/>
    <col min="2570" max="2570" width="16.140625" style="267" customWidth="1"/>
    <col min="2571" max="2571" width="12.85546875" style="267" customWidth="1"/>
    <col min="2572" max="2813" width="9.140625" style="267"/>
    <col min="2814" max="2814" width="1.7109375" style="267" customWidth="1"/>
    <col min="2815" max="2815" width="17.28515625" style="267" customWidth="1"/>
    <col min="2816" max="2816" width="15.140625" style="267" customWidth="1"/>
    <col min="2817" max="2817" width="12.7109375" style="267" customWidth="1"/>
    <col min="2818" max="2818" width="11.5703125" style="267" customWidth="1"/>
    <col min="2819" max="2819" width="12.140625" style="267" customWidth="1"/>
    <col min="2820" max="2820" width="13.42578125" style="267" customWidth="1"/>
    <col min="2821" max="2822" width="12.140625" style="267" customWidth="1"/>
    <col min="2823" max="2823" width="14.28515625" style="267" customWidth="1"/>
    <col min="2824" max="2825" width="15.28515625" style="267" customWidth="1"/>
    <col min="2826" max="2826" width="16.140625" style="267" customWidth="1"/>
    <col min="2827" max="2827" width="12.85546875" style="267" customWidth="1"/>
    <col min="2828" max="3069" width="9.140625" style="267"/>
    <col min="3070" max="3070" width="1.7109375" style="267" customWidth="1"/>
    <col min="3071" max="3071" width="17.28515625" style="267" customWidth="1"/>
    <col min="3072" max="3072" width="15.140625" style="267" customWidth="1"/>
    <col min="3073" max="3073" width="12.7109375" style="267" customWidth="1"/>
    <col min="3074" max="3074" width="11.5703125" style="267" customWidth="1"/>
    <col min="3075" max="3075" width="12.140625" style="267" customWidth="1"/>
    <col min="3076" max="3076" width="13.42578125" style="267" customWidth="1"/>
    <col min="3077" max="3078" width="12.140625" style="267" customWidth="1"/>
    <col min="3079" max="3079" width="14.28515625" style="267" customWidth="1"/>
    <col min="3080" max="3081" width="15.28515625" style="267" customWidth="1"/>
    <col min="3082" max="3082" width="16.140625" style="267" customWidth="1"/>
    <col min="3083" max="3083" width="12.85546875" style="267" customWidth="1"/>
    <col min="3084" max="3325" width="9.140625" style="267"/>
    <col min="3326" max="3326" width="1.7109375" style="267" customWidth="1"/>
    <col min="3327" max="3327" width="17.28515625" style="267" customWidth="1"/>
    <col min="3328" max="3328" width="15.140625" style="267" customWidth="1"/>
    <col min="3329" max="3329" width="12.7109375" style="267" customWidth="1"/>
    <col min="3330" max="3330" width="11.5703125" style="267" customWidth="1"/>
    <col min="3331" max="3331" width="12.140625" style="267" customWidth="1"/>
    <col min="3332" max="3332" width="13.42578125" style="267" customWidth="1"/>
    <col min="3333" max="3334" width="12.140625" style="267" customWidth="1"/>
    <col min="3335" max="3335" width="14.28515625" style="267" customWidth="1"/>
    <col min="3336" max="3337" width="15.28515625" style="267" customWidth="1"/>
    <col min="3338" max="3338" width="16.140625" style="267" customWidth="1"/>
    <col min="3339" max="3339" width="12.85546875" style="267" customWidth="1"/>
    <col min="3340" max="3581" width="9.140625" style="267"/>
    <col min="3582" max="3582" width="1.7109375" style="267" customWidth="1"/>
    <col min="3583" max="3583" width="17.28515625" style="267" customWidth="1"/>
    <col min="3584" max="3584" width="15.140625" style="267" customWidth="1"/>
    <col min="3585" max="3585" width="12.7109375" style="267" customWidth="1"/>
    <col min="3586" max="3586" width="11.5703125" style="267" customWidth="1"/>
    <col min="3587" max="3587" width="12.140625" style="267" customWidth="1"/>
    <col min="3588" max="3588" width="13.42578125" style="267" customWidth="1"/>
    <col min="3589" max="3590" width="12.140625" style="267" customWidth="1"/>
    <col min="3591" max="3591" width="14.28515625" style="267" customWidth="1"/>
    <col min="3592" max="3593" width="15.28515625" style="267" customWidth="1"/>
    <col min="3594" max="3594" width="16.140625" style="267" customWidth="1"/>
    <col min="3595" max="3595" width="12.85546875" style="267" customWidth="1"/>
    <col min="3596" max="3837" width="9.140625" style="267"/>
    <col min="3838" max="3838" width="1.7109375" style="267" customWidth="1"/>
    <col min="3839" max="3839" width="17.28515625" style="267" customWidth="1"/>
    <col min="3840" max="3840" width="15.140625" style="267" customWidth="1"/>
    <col min="3841" max="3841" width="12.7109375" style="267" customWidth="1"/>
    <col min="3842" max="3842" width="11.5703125" style="267" customWidth="1"/>
    <col min="3843" max="3843" width="12.140625" style="267" customWidth="1"/>
    <col min="3844" max="3844" width="13.42578125" style="267" customWidth="1"/>
    <col min="3845" max="3846" width="12.140625" style="267" customWidth="1"/>
    <col min="3847" max="3847" width="14.28515625" style="267" customWidth="1"/>
    <col min="3848" max="3849" width="15.28515625" style="267" customWidth="1"/>
    <col min="3850" max="3850" width="16.140625" style="267" customWidth="1"/>
    <col min="3851" max="3851" width="12.85546875" style="267" customWidth="1"/>
    <col min="3852" max="4093" width="9.140625" style="267"/>
    <col min="4094" max="4094" width="1.7109375" style="267" customWidth="1"/>
    <col min="4095" max="4095" width="17.28515625" style="267" customWidth="1"/>
    <col min="4096" max="4096" width="15.140625" style="267" customWidth="1"/>
    <col min="4097" max="4097" width="12.7109375" style="267" customWidth="1"/>
    <col min="4098" max="4098" width="11.5703125" style="267" customWidth="1"/>
    <col min="4099" max="4099" width="12.140625" style="267" customWidth="1"/>
    <col min="4100" max="4100" width="13.42578125" style="267" customWidth="1"/>
    <col min="4101" max="4102" width="12.140625" style="267" customWidth="1"/>
    <col min="4103" max="4103" width="14.28515625" style="267" customWidth="1"/>
    <col min="4104" max="4105" width="15.28515625" style="267" customWidth="1"/>
    <col min="4106" max="4106" width="16.140625" style="267" customWidth="1"/>
    <col min="4107" max="4107" width="12.85546875" style="267" customWidth="1"/>
    <col min="4108" max="4349" width="9.140625" style="267"/>
    <col min="4350" max="4350" width="1.7109375" style="267" customWidth="1"/>
    <col min="4351" max="4351" width="17.28515625" style="267" customWidth="1"/>
    <col min="4352" max="4352" width="15.140625" style="267" customWidth="1"/>
    <col min="4353" max="4353" width="12.7109375" style="267" customWidth="1"/>
    <col min="4354" max="4354" width="11.5703125" style="267" customWidth="1"/>
    <col min="4355" max="4355" width="12.140625" style="267" customWidth="1"/>
    <col min="4356" max="4356" width="13.42578125" style="267" customWidth="1"/>
    <col min="4357" max="4358" width="12.140625" style="267" customWidth="1"/>
    <col min="4359" max="4359" width="14.28515625" style="267" customWidth="1"/>
    <col min="4360" max="4361" width="15.28515625" style="267" customWidth="1"/>
    <col min="4362" max="4362" width="16.140625" style="267" customWidth="1"/>
    <col min="4363" max="4363" width="12.85546875" style="267" customWidth="1"/>
    <col min="4364" max="4605" width="9.140625" style="267"/>
    <col min="4606" max="4606" width="1.7109375" style="267" customWidth="1"/>
    <col min="4607" max="4607" width="17.28515625" style="267" customWidth="1"/>
    <col min="4608" max="4608" width="15.140625" style="267" customWidth="1"/>
    <col min="4609" max="4609" width="12.7109375" style="267" customWidth="1"/>
    <col min="4610" max="4610" width="11.5703125" style="267" customWidth="1"/>
    <col min="4611" max="4611" width="12.140625" style="267" customWidth="1"/>
    <col min="4612" max="4612" width="13.42578125" style="267" customWidth="1"/>
    <col min="4613" max="4614" width="12.140625" style="267" customWidth="1"/>
    <col min="4615" max="4615" width="14.28515625" style="267" customWidth="1"/>
    <col min="4616" max="4617" width="15.28515625" style="267" customWidth="1"/>
    <col min="4618" max="4618" width="16.140625" style="267" customWidth="1"/>
    <col min="4619" max="4619" width="12.85546875" style="267" customWidth="1"/>
    <col min="4620" max="4861" width="9.140625" style="267"/>
    <col min="4862" max="4862" width="1.7109375" style="267" customWidth="1"/>
    <col min="4863" max="4863" width="17.28515625" style="267" customWidth="1"/>
    <col min="4864" max="4864" width="15.140625" style="267" customWidth="1"/>
    <col min="4865" max="4865" width="12.7109375" style="267" customWidth="1"/>
    <col min="4866" max="4866" width="11.5703125" style="267" customWidth="1"/>
    <col min="4867" max="4867" width="12.140625" style="267" customWidth="1"/>
    <col min="4868" max="4868" width="13.42578125" style="267" customWidth="1"/>
    <col min="4869" max="4870" width="12.140625" style="267" customWidth="1"/>
    <col min="4871" max="4871" width="14.28515625" style="267" customWidth="1"/>
    <col min="4872" max="4873" width="15.28515625" style="267" customWidth="1"/>
    <col min="4874" max="4874" width="16.140625" style="267" customWidth="1"/>
    <col min="4875" max="4875" width="12.85546875" style="267" customWidth="1"/>
    <col min="4876" max="5117" width="9.140625" style="267"/>
    <col min="5118" max="5118" width="1.7109375" style="267" customWidth="1"/>
    <col min="5119" max="5119" width="17.28515625" style="267" customWidth="1"/>
    <col min="5120" max="5120" width="15.140625" style="267" customWidth="1"/>
    <col min="5121" max="5121" width="12.7109375" style="267" customWidth="1"/>
    <col min="5122" max="5122" width="11.5703125" style="267" customWidth="1"/>
    <col min="5123" max="5123" width="12.140625" style="267" customWidth="1"/>
    <col min="5124" max="5124" width="13.42578125" style="267" customWidth="1"/>
    <col min="5125" max="5126" width="12.140625" style="267" customWidth="1"/>
    <col min="5127" max="5127" width="14.28515625" style="267" customWidth="1"/>
    <col min="5128" max="5129" width="15.28515625" style="267" customWidth="1"/>
    <col min="5130" max="5130" width="16.140625" style="267" customWidth="1"/>
    <col min="5131" max="5131" width="12.85546875" style="267" customWidth="1"/>
    <col min="5132" max="5373" width="9.140625" style="267"/>
    <col min="5374" max="5374" width="1.7109375" style="267" customWidth="1"/>
    <col min="5375" max="5375" width="17.28515625" style="267" customWidth="1"/>
    <col min="5376" max="5376" width="15.140625" style="267" customWidth="1"/>
    <col min="5377" max="5377" width="12.7109375" style="267" customWidth="1"/>
    <col min="5378" max="5378" width="11.5703125" style="267" customWidth="1"/>
    <col min="5379" max="5379" width="12.140625" style="267" customWidth="1"/>
    <col min="5380" max="5380" width="13.42578125" style="267" customWidth="1"/>
    <col min="5381" max="5382" width="12.140625" style="267" customWidth="1"/>
    <col min="5383" max="5383" width="14.28515625" style="267" customWidth="1"/>
    <col min="5384" max="5385" width="15.28515625" style="267" customWidth="1"/>
    <col min="5386" max="5386" width="16.140625" style="267" customWidth="1"/>
    <col min="5387" max="5387" width="12.85546875" style="267" customWidth="1"/>
    <col min="5388" max="5629" width="9.140625" style="267"/>
    <col min="5630" max="5630" width="1.7109375" style="267" customWidth="1"/>
    <col min="5631" max="5631" width="17.28515625" style="267" customWidth="1"/>
    <col min="5632" max="5632" width="15.140625" style="267" customWidth="1"/>
    <col min="5633" max="5633" width="12.7109375" style="267" customWidth="1"/>
    <col min="5634" max="5634" width="11.5703125" style="267" customWidth="1"/>
    <col min="5635" max="5635" width="12.140625" style="267" customWidth="1"/>
    <col min="5636" max="5636" width="13.42578125" style="267" customWidth="1"/>
    <col min="5637" max="5638" width="12.140625" style="267" customWidth="1"/>
    <col min="5639" max="5639" width="14.28515625" style="267" customWidth="1"/>
    <col min="5640" max="5641" width="15.28515625" style="267" customWidth="1"/>
    <col min="5642" max="5642" width="16.140625" style="267" customWidth="1"/>
    <col min="5643" max="5643" width="12.85546875" style="267" customWidth="1"/>
    <col min="5644" max="5885" width="9.140625" style="267"/>
    <col min="5886" max="5886" width="1.7109375" style="267" customWidth="1"/>
    <col min="5887" max="5887" width="17.28515625" style="267" customWidth="1"/>
    <col min="5888" max="5888" width="15.140625" style="267" customWidth="1"/>
    <col min="5889" max="5889" width="12.7109375" style="267" customWidth="1"/>
    <col min="5890" max="5890" width="11.5703125" style="267" customWidth="1"/>
    <col min="5891" max="5891" width="12.140625" style="267" customWidth="1"/>
    <col min="5892" max="5892" width="13.42578125" style="267" customWidth="1"/>
    <col min="5893" max="5894" width="12.140625" style="267" customWidth="1"/>
    <col min="5895" max="5895" width="14.28515625" style="267" customWidth="1"/>
    <col min="5896" max="5897" width="15.28515625" style="267" customWidth="1"/>
    <col min="5898" max="5898" width="16.140625" style="267" customWidth="1"/>
    <col min="5899" max="5899" width="12.85546875" style="267" customWidth="1"/>
    <col min="5900" max="6141" width="9.140625" style="267"/>
    <col min="6142" max="6142" width="1.7109375" style="267" customWidth="1"/>
    <col min="6143" max="6143" width="17.28515625" style="267" customWidth="1"/>
    <col min="6144" max="6144" width="15.140625" style="267" customWidth="1"/>
    <col min="6145" max="6145" width="12.7109375" style="267" customWidth="1"/>
    <col min="6146" max="6146" width="11.5703125" style="267" customWidth="1"/>
    <col min="6147" max="6147" width="12.140625" style="267" customWidth="1"/>
    <col min="6148" max="6148" width="13.42578125" style="267" customWidth="1"/>
    <col min="6149" max="6150" width="12.140625" style="267" customWidth="1"/>
    <col min="6151" max="6151" width="14.28515625" style="267" customWidth="1"/>
    <col min="6152" max="6153" width="15.28515625" style="267" customWidth="1"/>
    <col min="6154" max="6154" width="16.140625" style="267" customWidth="1"/>
    <col min="6155" max="6155" width="12.85546875" style="267" customWidth="1"/>
    <col min="6156" max="6397" width="9.140625" style="267"/>
    <col min="6398" max="6398" width="1.7109375" style="267" customWidth="1"/>
    <col min="6399" max="6399" width="17.28515625" style="267" customWidth="1"/>
    <col min="6400" max="6400" width="15.140625" style="267" customWidth="1"/>
    <col min="6401" max="6401" width="12.7109375" style="267" customWidth="1"/>
    <col min="6402" max="6402" width="11.5703125" style="267" customWidth="1"/>
    <col min="6403" max="6403" width="12.140625" style="267" customWidth="1"/>
    <col min="6404" max="6404" width="13.42578125" style="267" customWidth="1"/>
    <col min="6405" max="6406" width="12.140625" style="267" customWidth="1"/>
    <col min="6407" max="6407" width="14.28515625" style="267" customWidth="1"/>
    <col min="6408" max="6409" width="15.28515625" style="267" customWidth="1"/>
    <col min="6410" max="6410" width="16.140625" style="267" customWidth="1"/>
    <col min="6411" max="6411" width="12.85546875" style="267" customWidth="1"/>
    <col min="6412" max="6653" width="9.140625" style="267"/>
    <col min="6654" max="6654" width="1.7109375" style="267" customWidth="1"/>
    <col min="6655" max="6655" width="17.28515625" style="267" customWidth="1"/>
    <col min="6656" max="6656" width="15.140625" style="267" customWidth="1"/>
    <col min="6657" max="6657" width="12.7109375" style="267" customWidth="1"/>
    <col min="6658" max="6658" width="11.5703125" style="267" customWidth="1"/>
    <col min="6659" max="6659" width="12.140625" style="267" customWidth="1"/>
    <col min="6660" max="6660" width="13.42578125" style="267" customWidth="1"/>
    <col min="6661" max="6662" width="12.140625" style="267" customWidth="1"/>
    <col min="6663" max="6663" width="14.28515625" style="267" customWidth="1"/>
    <col min="6664" max="6665" width="15.28515625" style="267" customWidth="1"/>
    <col min="6666" max="6666" width="16.140625" style="267" customWidth="1"/>
    <col min="6667" max="6667" width="12.85546875" style="267" customWidth="1"/>
    <col min="6668" max="6909" width="9.140625" style="267"/>
    <col min="6910" max="6910" width="1.7109375" style="267" customWidth="1"/>
    <col min="6911" max="6911" width="17.28515625" style="267" customWidth="1"/>
    <col min="6912" max="6912" width="15.140625" style="267" customWidth="1"/>
    <col min="6913" max="6913" width="12.7109375" style="267" customWidth="1"/>
    <col min="6914" max="6914" width="11.5703125" style="267" customWidth="1"/>
    <col min="6915" max="6915" width="12.140625" style="267" customWidth="1"/>
    <col min="6916" max="6916" width="13.42578125" style="267" customWidth="1"/>
    <col min="6917" max="6918" width="12.140625" style="267" customWidth="1"/>
    <col min="6919" max="6919" width="14.28515625" style="267" customWidth="1"/>
    <col min="6920" max="6921" width="15.28515625" style="267" customWidth="1"/>
    <col min="6922" max="6922" width="16.140625" style="267" customWidth="1"/>
    <col min="6923" max="6923" width="12.85546875" style="267" customWidth="1"/>
    <col min="6924" max="7165" width="9.140625" style="267"/>
    <col min="7166" max="7166" width="1.7109375" style="267" customWidth="1"/>
    <col min="7167" max="7167" width="17.28515625" style="267" customWidth="1"/>
    <col min="7168" max="7168" width="15.140625" style="267" customWidth="1"/>
    <col min="7169" max="7169" width="12.7109375" style="267" customWidth="1"/>
    <col min="7170" max="7170" width="11.5703125" style="267" customWidth="1"/>
    <col min="7171" max="7171" width="12.140625" style="267" customWidth="1"/>
    <col min="7172" max="7172" width="13.42578125" style="267" customWidth="1"/>
    <col min="7173" max="7174" width="12.140625" style="267" customWidth="1"/>
    <col min="7175" max="7175" width="14.28515625" style="267" customWidth="1"/>
    <col min="7176" max="7177" width="15.28515625" style="267" customWidth="1"/>
    <col min="7178" max="7178" width="16.140625" style="267" customWidth="1"/>
    <col min="7179" max="7179" width="12.85546875" style="267" customWidth="1"/>
    <col min="7180" max="7421" width="9.140625" style="267"/>
    <col min="7422" max="7422" width="1.7109375" style="267" customWidth="1"/>
    <col min="7423" max="7423" width="17.28515625" style="267" customWidth="1"/>
    <col min="7424" max="7424" width="15.140625" style="267" customWidth="1"/>
    <col min="7425" max="7425" width="12.7109375" style="267" customWidth="1"/>
    <col min="7426" max="7426" width="11.5703125" style="267" customWidth="1"/>
    <col min="7427" max="7427" width="12.140625" style="267" customWidth="1"/>
    <col min="7428" max="7428" width="13.42578125" style="267" customWidth="1"/>
    <col min="7429" max="7430" width="12.140625" style="267" customWidth="1"/>
    <col min="7431" max="7431" width="14.28515625" style="267" customWidth="1"/>
    <col min="7432" max="7433" width="15.28515625" style="267" customWidth="1"/>
    <col min="7434" max="7434" width="16.140625" style="267" customWidth="1"/>
    <col min="7435" max="7435" width="12.85546875" style="267" customWidth="1"/>
    <col min="7436" max="7677" width="9.140625" style="267"/>
    <col min="7678" max="7678" width="1.7109375" style="267" customWidth="1"/>
    <col min="7679" max="7679" width="17.28515625" style="267" customWidth="1"/>
    <col min="7680" max="7680" width="15.140625" style="267" customWidth="1"/>
    <col min="7681" max="7681" width="12.7109375" style="267" customWidth="1"/>
    <col min="7682" max="7682" width="11.5703125" style="267" customWidth="1"/>
    <col min="7683" max="7683" width="12.140625" style="267" customWidth="1"/>
    <col min="7684" max="7684" width="13.42578125" style="267" customWidth="1"/>
    <col min="7685" max="7686" width="12.140625" style="267" customWidth="1"/>
    <col min="7687" max="7687" width="14.28515625" style="267" customWidth="1"/>
    <col min="7688" max="7689" width="15.28515625" style="267" customWidth="1"/>
    <col min="7690" max="7690" width="16.140625" style="267" customWidth="1"/>
    <col min="7691" max="7691" width="12.85546875" style="267" customWidth="1"/>
    <col min="7692" max="7933" width="9.140625" style="267"/>
    <col min="7934" max="7934" width="1.7109375" style="267" customWidth="1"/>
    <col min="7935" max="7935" width="17.28515625" style="267" customWidth="1"/>
    <col min="7936" max="7936" width="15.140625" style="267" customWidth="1"/>
    <col min="7937" max="7937" width="12.7109375" style="267" customWidth="1"/>
    <col min="7938" max="7938" width="11.5703125" style="267" customWidth="1"/>
    <col min="7939" max="7939" width="12.140625" style="267" customWidth="1"/>
    <col min="7940" max="7940" width="13.42578125" style="267" customWidth="1"/>
    <col min="7941" max="7942" width="12.140625" style="267" customWidth="1"/>
    <col min="7943" max="7943" width="14.28515625" style="267" customWidth="1"/>
    <col min="7944" max="7945" width="15.28515625" style="267" customWidth="1"/>
    <col min="7946" max="7946" width="16.140625" style="267" customWidth="1"/>
    <col min="7947" max="7947" width="12.85546875" style="267" customWidth="1"/>
    <col min="7948" max="8189" width="9.140625" style="267"/>
    <col min="8190" max="8190" width="1.7109375" style="267" customWidth="1"/>
    <col min="8191" max="8191" width="17.28515625" style="267" customWidth="1"/>
    <col min="8192" max="8192" width="15.140625" style="267" customWidth="1"/>
    <col min="8193" max="8193" width="12.7109375" style="267" customWidth="1"/>
    <col min="8194" max="8194" width="11.5703125" style="267" customWidth="1"/>
    <col min="8195" max="8195" width="12.140625" style="267" customWidth="1"/>
    <col min="8196" max="8196" width="13.42578125" style="267" customWidth="1"/>
    <col min="8197" max="8198" width="12.140625" style="267" customWidth="1"/>
    <col min="8199" max="8199" width="14.28515625" style="267" customWidth="1"/>
    <col min="8200" max="8201" width="15.28515625" style="267" customWidth="1"/>
    <col min="8202" max="8202" width="16.140625" style="267" customWidth="1"/>
    <col min="8203" max="8203" width="12.85546875" style="267" customWidth="1"/>
    <col min="8204" max="8445" width="9.140625" style="267"/>
    <col min="8446" max="8446" width="1.7109375" style="267" customWidth="1"/>
    <col min="8447" max="8447" width="17.28515625" style="267" customWidth="1"/>
    <col min="8448" max="8448" width="15.140625" style="267" customWidth="1"/>
    <col min="8449" max="8449" width="12.7109375" style="267" customWidth="1"/>
    <col min="8450" max="8450" width="11.5703125" style="267" customWidth="1"/>
    <col min="8451" max="8451" width="12.140625" style="267" customWidth="1"/>
    <col min="8452" max="8452" width="13.42578125" style="267" customWidth="1"/>
    <col min="8453" max="8454" width="12.140625" style="267" customWidth="1"/>
    <col min="8455" max="8455" width="14.28515625" style="267" customWidth="1"/>
    <col min="8456" max="8457" width="15.28515625" style="267" customWidth="1"/>
    <col min="8458" max="8458" width="16.140625" style="267" customWidth="1"/>
    <col min="8459" max="8459" width="12.85546875" style="267" customWidth="1"/>
    <col min="8460" max="8701" width="9.140625" style="267"/>
    <col min="8702" max="8702" width="1.7109375" style="267" customWidth="1"/>
    <col min="8703" max="8703" width="17.28515625" style="267" customWidth="1"/>
    <col min="8704" max="8704" width="15.140625" style="267" customWidth="1"/>
    <col min="8705" max="8705" width="12.7109375" style="267" customWidth="1"/>
    <col min="8706" max="8706" width="11.5703125" style="267" customWidth="1"/>
    <col min="8707" max="8707" width="12.140625" style="267" customWidth="1"/>
    <col min="8708" max="8708" width="13.42578125" style="267" customWidth="1"/>
    <col min="8709" max="8710" width="12.140625" style="267" customWidth="1"/>
    <col min="8711" max="8711" width="14.28515625" style="267" customWidth="1"/>
    <col min="8712" max="8713" width="15.28515625" style="267" customWidth="1"/>
    <col min="8714" max="8714" width="16.140625" style="267" customWidth="1"/>
    <col min="8715" max="8715" width="12.85546875" style="267" customWidth="1"/>
    <col min="8716" max="8957" width="9.140625" style="267"/>
    <col min="8958" max="8958" width="1.7109375" style="267" customWidth="1"/>
    <col min="8959" max="8959" width="17.28515625" style="267" customWidth="1"/>
    <col min="8960" max="8960" width="15.140625" style="267" customWidth="1"/>
    <col min="8961" max="8961" width="12.7109375" style="267" customWidth="1"/>
    <col min="8962" max="8962" width="11.5703125" style="267" customWidth="1"/>
    <col min="8963" max="8963" width="12.140625" style="267" customWidth="1"/>
    <col min="8964" max="8964" width="13.42578125" style="267" customWidth="1"/>
    <col min="8965" max="8966" width="12.140625" style="267" customWidth="1"/>
    <col min="8967" max="8967" width="14.28515625" style="267" customWidth="1"/>
    <col min="8968" max="8969" width="15.28515625" style="267" customWidth="1"/>
    <col min="8970" max="8970" width="16.140625" style="267" customWidth="1"/>
    <col min="8971" max="8971" width="12.85546875" style="267" customWidth="1"/>
    <col min="8972" max="9213" width="9.140625" style="267"/>
    <col min="9214" max="9214" width="1.7109375" style="267" customWidth="1"/>
    <col min="9215" max="9215" width="17.28515625" style="267" customWidth="1"/>
    <col min="9216" max="9216" width="15.140625" style="267" customWidth="1"/>
    <col min="9217" max="9217" width="12.7109375" style="267" customWidth="1"/>
    <col min="9218" max="9218" width="11.5703125" style="267" customWidth="1"/>
    <col min="9219" max="9219" width="12.140625" style="267" customWidth="1"/>
    <col min="9220" max="9220" width="13.42578125" style="267" customWidth="1"/>
    <col min="9221" max="9222" width="12.140625" style="267" customWidth="1"/>
    <col min="9223" max="9223" width="14.28515625" style="267" customWidth="1"/>
    <col min="9224" max="9225" width="15.28515625" style="267" customWidth="1"/>
    <col min="9226" max="9226" width="16.140625" style="267" customWidth="1"/>
    <col min="9227" max="9227" width="12.85546875" style="267" customWidth="1"/>
    <col min="9228" max="9469" width="9.140625" style="267"/>
    <col min="9470" max="9470" width="1.7109375" style="267" customWidth="1"/>
    <col min="9471" max="9471" width="17.28515625" style="267" customWidth="1"/>
    <col min="9472" max="9472" width="15.140625" style="267" customWidth="1"/>
    <col min="9473" max="9473" width="12.7109375" style="267" customWidth="1"/>
    <col min="9474" max="9474" width="11.5703125" style="267" customWidth="1"/>
    <col min="9475" max="9475" width="12.140625" style="267" customWidth="1"/>
    <col min="9476" max="9476" width="13.42578125" style="267" customWidth="1"/>
    <col min="9477" max="9478" width="12.140625" style="267" customWidth="1"/>
    <col min="9479" max="9479" width="14.28515625" style="267" customWidth="1"/>
    <col min="9480" max="9481" width="15.28515625" style="267" customWidth="1"/>
    <col min="9482" max="9482" width="16.140625" style="267" customWidth="1"/>
    <col min="9483" max="9483" width="12.85546875" style="267" customWidth="1"/>
    <col min="9484" max="9725" width="9.140625" style="267"/>
    <col min="9726" max="9726" width="1.7109375" style="267" customWidth="1"/>
    <col min="9727" max="9727" width="17.28515625" style="267" customWidth="1"/>
    <col min="9728" max="9728" width="15.140625" style="267" customWidth="1"/>
    <col min="9729" max="9729" width="12.7109375" style="267" customWidth="1"/>
    <col min="9730" max="9730" width="11.5703125" style="267" customWidth="1"/>
    <col min="9731" max="9731" width="12.140625" style="267" customWidth="1"/>
    <col min="9732" max="9732" width="13.42578125" style="267" customWidth="1"/>
    <col min="9733" max="9734" width="12.140625" style="267" customWidth="1"/>
    <col min="9735" max="9735" width="14.28515625" style="267" customWidth="1"/>
    <col min="9736" max="9737" width="15.28515625" style="267" customWidth="1"/>
    <col min="9738" max="9738" width="16.140625" style="267" customWidth="1"/>
    <col min="9739" max="9739" width="12.85546875" style="267" customWidth="1"/>
    <col min="9740" max="9981" width="9.140625" style="267"/>
    <col min="9982" max="9982" width="1.7109375" style="267" customWidth="1"/>
    <col min="9983" max="9983" width="17.28515625" style="267" customWidth="1"/>
    <col min="9984" max="9984" width="15.140625" style="267" customWidth="1"/>
    <col min="9985" max="9985" width="12.7109375" style="267" customWidth="1"/>
    <col min="9986" max="9986" width="11.5703125" style="267" customWidth="1"/>
    <col min="9987" max="9987" width="12.140625" style="267" customWidth="1"/>
    <col min="9988" max="9988" width="13.42578125" style="267" customWidth="1"/>
    <col min="9989" max="9990" width="12.140625" style="267" customWidth="1"/>
    <col min="9991" max="9991" width="14.28515625" style="267" customWidth="1"/>
    <col min="9992" max="9993" width="15.28515625" style="267" customWidth="1"/>
    <col min="9994" max="9994" width="16.140625" style="267" customWidth="1"/>
    <col min="9995" max="9995" width="12.85546875" style="267" customWidth="1"/>
    <col min="9996" max="10237" width="9.140625" style="267"/>
    <col min="10238" max="10238" width="1.7109375" style="267" customWidth="1"/>
    <col min="10239" max="10239" width="17.28515625" style="267" customWidth="1"/>
    <col min="10240" max="10240" width="15.140625" style="267" customWidth="1"/>
    <col min="10241" max="10241" width="12.7109375" style="267" customWidth="1"/>
    <col min="10242" max="10242" width="11.5703125" style="267" customWidth="1"/>
    <col min="10243" max="10243" width="12.140625" style="267" customWidth="1"/>
    <col min="10244" max="10244" width="13.42578125" style="267" customWidth="1"/>
    <col min="10245" max="10246" width="12.140625" style="267" customWidth="1"/>
    <col min="10247" max="10247" width="14.28515625" style="267" customWidth="1"/>
    <col min="10248" max="10249" width="15.28515625" style="267" customWidth="1"/>
    <col min="10250" max="10250" width="16.140625" style="267" customWidth="1"/>
    <col min="10251" max="10251" width="12.85546875" style="267" customWidth="1"/>
    <col min="10252" max="10493" width="9.140625" style="267"/>
    <col min="10494" max="10494" width="1.7109375" style="267" customWidth="1"/>
    <col min="10495" max="10495" width="17.28515625" style="267" customWidth="1"/>
    <col min="10496" max="10496" width="15.140625" style="267" customWidth="1"/>
    <col min="10497" max="10497" width="12.7109375" style="267" customWidth="1"/>
    <col min="10498" max="10498" width="11.5703125" style="267" customWidth="1"/>
    <col min="10499" max="10499" width="12.140625" style="267" customWidth="1"/>
    <col min="10500" max="10500" width="13.42578125" style="267" customWidth="1"/>
    <col min="10501" max="10502" width="12.140625" style="267" customWidth="1"/>
    <col min="10503" max="10503" width="14.28515625" style="267" customWidth="1"/>
    <col min="10504" max="10505" width="15.28515625" style="267" customWidth="1"/>
    <col min="10506" max="10506" width="16.140625" style="267" customWidth="1"/>
    <col min="10507" max="10507" width="12.85546875" style="267" customWidth="1"/>
    <col min="10508" max="10749" width="9.140625" style="267"/>
    <col min="10750" max="10750" width="1.7109375" style="267" customWidth="1"/>
    <col min="10751" max="10751" width="17.28515625" style="267" customWidth="1"/>
    <col min="10752" max="10752" width="15.140625" style="267" customWidth="1"/>
    <col min="10753" max="10753" width="12.7109375" style="267" customWidth="1"/>
    <col min="10754" max="10754" width="11.5703125" style="267" customWidth="1"/>
    <col min="10755" max="10755" width="12.140625" style="267" customWidth="1"/>
    <col min="10756" max="10756" width="13.42578125" style="267" customWidth="1"/>
    <col min="10757" max="10758" width="12.140625" style="267" customWidth="1"/>
    <col min="10759" max="10759" width="14.28515625" style="267" customWidth="1"/>
    <col min="10760" max="10761" width="15.28515625" style="267" customWidth="1"/>
    <col min="10762" max="10762" width="16.140625" style="267" customWidth="1"/>
    <col min="10763" max="10763" width="12.85546875" style="267" customWidth="1"/>
    <col min="10764" max="11005" width="9.140625" style="267"/>
    <col min="11006" max="11006" width="1.7109375" style="267" customWidth="1"/>
    <col min="11007" max="11007" width="17.28515625" style="267" customWidth="1"/>
    <col min="11008" max="11008" width="15.140625" style="267" customWidth="1"/>
    <col min="11009" max="11009" width="12.7109375" style="267" customWidth="1"/>
    <col min="11010" max="11010" width="11.5703125" style="267" customWidth="1"/>
    <col min="11011" max="11011" width="12.140625" style="267" customWidth="1"/>
    <col min="11012" max="11012" width="13.42578125" style="267" customWidth="1"/>
    <col min="11013" max="11014" width="12.140625" style="267" customWidth="1"/>
    <col min="11015" max="11015" width="14.28515625" style="267" customWidth="1"/>
    <col min="11016" max="11017" width="15.28515625" style="267" customWidth="1"/>
    <col min="11018" max="11018" width="16.140625" style="267" customWidth="1"/>
    <col min="11019" max="11019" width="12.85546875" style="267" customWidth="1"/>
    <col min="11020" max="11261" width="9.140625" style="267"/>
    <col min="11262" max="11262" width="1.7109375" style="267" customWidth="1"/>
    <col min="11263" max="11263" width="17.28515625" style="267" customWidth="1"/>
    <col min="11264" max="11264" width="15.140625" style="267" customWidth="1"/>
    <col min="11265" max="11265" width="12.7109375" style="267" customWidth="1"/>
    <col min="11266" max="11266" width="11.5703125" style="267" customWidth="1"/>
    <col min="11267" max="11267" width="12.140625" style="267" customWidth="1"/>
    <col min="11268" max="11268" width="13.42578125" style="267" customWidth="1"/>
    <col min="11269" max="11270" width="12.140625" style="267" customWidth="1"/>
    <col min="11271" max="11271" width="14.28515625" style="267" customWidth="1"/>
    <col min="11272" max="11273" width="15.28515625" style="267" customWidth="1"/>
    <col min="11274" max="11274" width="16.140625" style="267" customWidth="1"/>
    <col min="11275" max="11275" width="12.85546875" style="267" customWidth="1"/>
    <col min="11276" max="11517" width="9.140625" style="267"/>
    <col min="11518" max="11518" width="1.7109375" style="267" customWidth="1"/>
    <col min="11519" max="11519" width="17.28515625" style="267" customWidth="1"/>
    <col min="11520" max="11520" width="15.140625" style="267" customWidth="1"/>
    <col min="11521" max="11521" width="12.7109375" style="267" customWidth="1"/>
    <col min="11522" max="11522" width="11.5703125" style="267" customWidth="1"/>
    <col min="11523" max="11523" width="12.140625" style="267" customWidth="1"/>
    <col min="11524" max="11524" width="13.42578125" style="267" customWidth="1"/>
    <col min="11525" max="11526" width="12.140625" style="267" customWidth="1"/>
    <col min="11527" max="11527" width="14.28515625" style="267" customWidth="1"/>
    <col min="11528" max="11529" width="15.28515625" style="267" customWidth="1"/>
    <col min="11530" max="11530" width="16.140625" style="267" customWidth="1"/>
    <col min="11531" max="11531" width="12.85546875" style="267" customWidth="1"/>
    <col min="11532" max="11773" width="9.140625" style="267"/>
    <col min="11774" max="11774" width="1.7109375" style="267" customWidth="1"/>
    <col min="11775" max="11775" width="17.28515625" style="267" customWidth="1"/>
    <col min="11776" max="11776" width="15.140625" style="267" customWidth="1"/>
    <col min="11777" max="11777" width="12.7109375" style="267" customWidth="1"/>
    <col min="11778" max="11778" width="11.5703125" style="267" customWidth="1"/>
    <col min="11779" max="11779" width="12.140625" style="267" customWidth="1"/>
    <col min="11780" max="11780" width="13.42578125" style="267" customWidth="1"/>
    <col min="11781" max="11782" width="12.140625" style="267" customWidth="1"/>
    <col min="11783" max="11783" width="14.28515625" style="267" customWidth="1"/>
    <col min="11784" max="11785" width="15.28515625" style="267" customWidth="1"/>
    <col min="11786" max="11786" width="16.140625" style="267" customWidth="1"/>
    <col min="11787" max="11787" width="12.85546875" style="267" customWidth="1"/>
    <col min="11788" max="12029" width="9.140625" style="267"/>
    <col min="12030" max="12030" width="1.7109375" style="267" customWidth="1"/>
    <col min="12031" max="12031" width="17.28515625" style="267" customWidth="1"/>
    <col min="12032" max="12032" width="15.140625" style="267" customWidth="1"/>
    <col min="12033" max="12033" width="12.7109375" style="267" customWidth="1"/>
    <col min="12034" max="12034" width="11.5703125" style="267" customWidth="1"/>
    <col min="12035" max="12035" width="12.140625" style="267" customWidth="1"/>
    <col min="12036" max="12036" width="13.42578125" style="267" customWidth="1"/>
    <col min="12037" max="12038" width="12.140625" style="267" customWidth="1"/>
    <col min="12039" max="12039" width="14.28515625" style="267" customWidth="1"/>
    <col min="12040" max="12041" width="15.28515625" style="267" customWidth="1"/>
    <col min="12042" max="12042" width="16.140625" style="267" customWidth="1"/>
    <col min="12043" max="12043" width="12.85546875" style="267" customWidth="1"/>
    <col min="12044" max="12285" width="9.140625" style="267"/>
    <col min="12286" max="12286" width="1.7109375" style="267" customWidth="1"/>
    <col min="12287" max="12287" width="17.28515625" style="267" customWidth="1"/>
    <col min="12288" max="12288" width="15.140625" style="267" customWidth="1"/>
    <col min="12289" max="12289" width="12.7109375" style="267" customWidth="1"/>
    <col min="12290" max="12290" width="11.5703125" style="267" customWidth="1"/>
    <col min="12291" max="12291" width="12.140625" style="267" customWidth="1"/>
    <col min="12292" max="12292" width="13.42578125" style="267" customWidth="1"/>
    <col min="12293" max="12294" width="12.140625" style="267" customWidth="1"/>
    <col min="12295" max="12295" width="14.28515625" style="267" customWidth="1"/>
    <col min="12296" max="12297" width="15.28515625" style="267" customWidth="1"/>
    <col min="12298" max="12298" width="16.140625" style="267" customWidth="1"/>
    <col min="12299" max="12299" width="12.85546875" style="267" customWidth="1"/>
    <col min="12300" max="12541" width="9.140625" style="267"/>
    <col min="12542" max="12542" width="1.7109375" style="267" customWidth="1"/>
    <col min="12543" max="12543" width="17.28515625" style="267" customWidth="1"/>
    <col min="12544" max="12544" width="15.140625" style="267" customWidth="1"/>
    <col min="12545" max="12545" width="12.7109375" style="267" customWidth="1"/>
    <col min="12546" max="12546" width="11.5703125" style="267" customWidth="1"/>
    <col min="12547" max="12547" width="12.140625" style="267" customWidth="1"/>
    <col min="12548" max="12548" width="13.42578125" style="267" customWidth="1"/>
    <col min="12549" max="12550" width="12.140625" style="267" customWidth="1"/>
    <col min="12551" max="12551" width="14.28515625" style="267" customWidth="1"/>
    <col min="12552" max="12553" width="15.28515625" style="267" customWidth="1"/>
    <col min="12554" max="12554" width="16.140625" style="267" customWidth="1"/>
    <col min="12555" max="12555" width="12.85546875" style="267" customWidth="1"/>
    <col min="12556" max="12797" width="9.140625" style="267"/>
    <col min="12798" max="12798" width="1.7109375" style="267" customWidth="1"/>
    <col min="12799" max="12799" width="17.28515625" style="267" customWidth="1"/>
    <col min="12800" max="12800" width="15.140625" style="267" customWidth="1"/>
    <col min="12801" max="12801" width="12.7109375" style="267" customWidth="1"/>
    <col min="12802" max="12802" width="11.5703125" style="267" customWidth="1"/>
    <col min="12803" max="12803" width="12.140625" style="267" customWidth="1"/>
    <col min="12804" max="12804" width="13.42578125" style="267" customWidth="1"/>
    <col min="12805" max="12806" width="12.140625" style="267" customWidth="1"/>
    <col min="12807" max="12807" width="14.28515625" style="267" customWidth="1"/>
    <col min="12808" max="12809" width="15.28515625" style="267" customWidth="1"/>
    <col min="12810" max="12810" width="16.140625" style="267" customWidth="1"/>
    <col min="12811" max="12811" width="12.85546875" style="267" customWidth="1"/>
    <col min="12812" max="13053" width="9.140625" style="267"/>
    <col min="13054" max="13054" width="1.7109375" style="267" customWidth="1"/>
    <col min="13055" max="13055" width="17.28515625" style="267" customWidth="1"/>
    <col min="13056" max="13056" width="15.140625" style="267" customWidth="1"/>
    <col min="13057" max="13057" width="12.7109375" style="267" customWidth="1"/>
    <col min="13058" max="13058" width="11.5703125" style="267" customWidth="1"/>
    <col min="13059" max="13059" width="12.140625" style="267" customWidth="1"/>
    <col min="13060" max="13060" width="13.42578125" style="267" customWidth="1"/>
    <col min="13061" max="13062" width="12.140625" style="267" customWidth="1"/>
    <col min="13063" max="13063" width="14.28515625" style="267" customWidth="1"/>
    <col min="13064" max="13065" width="15.28515625" style="267" customWidth="1"/>
    <col min="13066" max="13066" width="16.140625" style="267" customWidth="1"/>
    <col min="13067" max="13067" width="12.85546875" style="267" customWidth="1"/>
    <col min="13068" max="13309" width="9.140625" style="267"/>
    <col min="13310" max="13310" width="1.7109375" style="267" customWidth="1"/>
    <col min="13311" max="13311" width="17.28515625" style="267" customWidth="1"/>
    <col min="13312" max="13312" width="15.140625" style="267" customWidth="1"/>
    <col min="13313" max="13313" width="12.7109375" style="267" customWidth="1"/>
    <col min="13314" max="13314" width="11.5703125" style="267" customWidth="1"/>
    <col min="13315" max="13315" width="12.140625" style="267" customWidth="1"/>
    <col min="13316" max="13316" width="13.42578125" style="267" customWidth="1"/>
    <col min="13317" max="13318" width="12.140625" style="267" customWidth="1"/>
    <col min="13319" max="13319" width="14.28515625" style="267" customWidth="1"/>
    <col min="13320" max="13321" width="15.28515625" style="267" customWidth="1"/>
    <col min="13322" max="13322" width="16.140625" style="267" customWidth="1"/>
    <col min="13323" max="13323" width="12.85546875" style="267" customWidth="1"/>
    <col min="13324" max="13565" width="9.140625" style="267"/>
    <col min="13566" max="13566" width="1.7109375" style="267" customWidth="1"/>
    <col min="13567" max="13567" width="17.28515625" style="267" customWidth="1"/>
    <col min="13568" max="13568" width="15.140625" style="267" customWidth="1"/>
    <col min="13569" max="13569" width="12.7109375" style="267" customWidth="1"/>
    <col min="13570" max="13570" width="11.5703125" style="267" customWidth="1"/>
    <col min="13571" max="13571" width="12.140625" style="267" customWidth="1"/>
    <col min="13572" max="13572" width="13.42578125" style="267" customWidth="1"/>
    <col min="13573" max="13574" width="12.140625" style="267" customWidth="1"/>
    <col min="13575" max="13575" width="14.28515625" style="267" customWidth="1"/>
    <col min="13576" max="13577" width="15.28515625" style="267" customWidth="1"/>
    <col min="13578" max="13578" width="16.140625" style="267" customWidth="1"/>
    <col min="13579" max="13579" width="12.85546875" style="267" customWidth="1"/>
    <col min="13580" max="13821" width="9.140625" style="267"/>
    <col min="13822" max="13822" width="1.7109375" style="267" customWidth="1"/>
    <col min="13823" max="13823" width="17.28515625" style="267" customWidth="1"/>
    <col min="13824" max="13824" width="15.140625" style="267" customWidth="1"/>
    <col min="13825" max="13825" width="12.7109375" style="267" customWidth="1"/>
    <col min="13826" max="13826" width="11.5703125" style="267" customWidth="1"/>
    <col min="13827" max="13827" width="12.140625" style="267" customWidth="1"/>
    <col min="13828" max="13828" width="13.42578125" style="267" customWidth="1"/>
    <col min="13829" max="13830" width="12.140625" style="267" customWidth="1"/>
    <col min="13831" max="13831" width="14.28515625" style="267" customWidth="1"/>
    <col min="13832" max="13833" width="15.28515625" style="267" customWidth="1"/>
    <col min="13834" max="13834" width="16.140625" style="267" customWidth="1"/>
    <col min="13835" max="13835" width="12.85546875" style="267" customWidth="1"/>
    <col min="13836" max="14077" width="9.140625" style="267"/>
    <col min="14078" max="14078" width="1.7109375" style="267" customWidth="1"/>
    <col min="14079" max="14079" width="17.28515625" style="267" customWidth="1"/>
    <col min="14080" max="14080" width="15.140625" style="267" customWidth="1"/>
    <col min="14081" max="14081" width="12.7109375" style="267" customWidth="1"/>
    <col min="14082" max="14082" width="11.5703125" style="267" customWidth="1"/>
    <col min="14083" max="14083" width="12.140625" style="267" customWidth="1"/>
    <col min="14084" max="14084" width="13.42578125" style="267" customWidth="1"/>
    <col min="14085" max="14086" width="12.140625" style="267" customWidth="1"/>
    <col min="14087" max="14087" width="14.28515625" style="267" customWidth="1"/>
    <col min="14088" max="14089" width="15.28515625" style="267" customWidth="1"/>
    <col min="14090" max="14090" width="16.140625" style="267" customWidth="1"/>
    <col min="14091" max="14091" width="12.85546875" style="267" customWidth="1"/>
    <col min="14092" max="14333" width="9.140625" style="267"/>
    <col min="14334" max="14334" width="1.7109375" style="267" customWidth="1"/>
    <col min="14335" max="14335" width="17.28515625" style="267" customWidth="1"/>
    <col min="14336" max="14336" width="15.140625" style="267" customWidth="1"/>
    <col min="14337" max="14337" width="12.7109375" style="267" customWidth="1"/>
    <col min="14338" max="14338" width="11.5703125" style="267" customWidth="1"/>
    <col min="14339" max="14339" width="12.140625" style="267" customWidth="1"/>
    <col min="14340" max="14340" width="13.42578125" style="267" customWidth="1"/>
    <col min="14341" max="14342" width="12.140625" style="267" customWidth="1"/>
    <col min="14343" max="14343" width="14.28515625" style="267" customWidth="1"/>
    <col min="14344" max="14345" width="15.28515625" style="267" customWidth="1"/>
    <col min="14346" max="14346" width="16.140625" style="267" customWidth="1"/>
    <col min="14347" max="14347" width="12.85546875" style="267" customWidth="1"/>
    <col min="14348" max="14589" width="9.140625" style="267"/>
    <col min="14590" max="14590" width="1.7109375" style="267" customWidth="1"/>
    <col min="14591" max="14591" width="17.28515625" style="267" customWidth="1"/>
    <col min="14592" max="14592" width="15.140625" style="267" customWidth="1"/>
    <col min="14593" max="14593" width="12.7109375" style="267" customWidth="1"/>
    <col min="14594" max="14594" width="11.5703125" style="267" customWidth="1"/>
    <col min="14595" max="14595" width="12.140625" style="267" customWidth="1"/>
    <col min="14596" max="14596" width="13.42578125" style="267" customWidth="1"/>
    <col min="14597" max="14598" width="12.140625" style="267" customWidth="1"/>
    <col min="14599" max="14599" width="14.28515625" style="267" customWidth="1"/>
    <col min="14600" max="14601" width="15.28515625" style="267" customWidth="1"/>
    <col min="14602" max="14602" width="16.140625" style="267" customWidth="1"/>
    <col min="14603" max="14603" width="12.85546875" style="267" customWidth="1"/>
    <col min="14604" max="14845" width="9.140625" style="267"/>
    <col min="14846" max="14846" width="1.7109375" style="267" customWidth="1"/>
    <col min="14847" max="14847" width="17.28515625" style="267" customWidth="1"/>
    <col min="14848" max="14848" width="15.140625" style="267" customWidth="1"/>
    <col min="14849" max="14849" width="12.7109375" style="267" customWidth="1"/>
    <col min="14850" max="14850" width="11.5703125" style="267" customWidth="1"/>
    <col min="14851" max="14851" width="12.140625" style="267" customWidth="1"/>
    <col min="14852" max="14852" width="13.42578125" style="267" customWidth="1"/>
    <col min="14853" max="14854" width="12.140625" style="267" customWidth="1"/>
    <col min="14855" max="14855" width="14.28515625" style="267" customWidth="1"/>
    <col min="14856" max="14857" width="15.28515625" style="267" customWidth="1"/>
    <col min="14858" max="14858" width="16.140625" style="267" customWidth="1"/>
    <col min="14859" max="14859" width="12.85546875" style="267" customWidth="1"/>
    <col min="14860" max="15101" width="9.140625" style="267"/>
    <col min="15102" max="15102" width="1.7109375" style="267" customWidth="1"/>
    <col min="15103" max="15103" width="17.28515625" style="267" customWidth="1"/>
    <col min="15104" max="15104" width="15.140625" style="267" customWidth="1"/>
    <col min="15105" max="15105" width="12.7109375" style="267" customWidth="1"/>
    <col min="15106" max="15106" width="11.5703125" style="267" customWidth="1"/>
    <col min="15107" max="15107" width="12.140625" style="267" customWidth="1"/>
    <col min="15108" max="15108" width="13.42578125" style="267" customWidth="1"/>
    <col min="15109" max="15110" width="12.140625" style="267" customWidth="1"/>
    <col min="15111" max="15111" width="14.28515625" style="267" customWidth="1"/>
    <col min="15112" max="15113" width="15.28515625" style="267" customWidth="1"/>
    <col min="15114" max="15114" width="16.140625" style="267" customWidth="1"/>
    <col min="15115" max="15115" width="12.85546875" style="267" customWidth="1"/>
    <col min="15116" max="15357" width="9.140625" style="267"/>
    <col min="15358" max="15358" width="1.7109375" style="267" customWidth="1"/>
    <col min="15359" max="15359" width="17.28515625" style="267" customWidth="1"/>
    <col min="15360" max="15360" width="15.140625" style="267" customWidth="1"/>
    <col min="15361" max="15361" width="12.7109375" style="267" customWidth="1"/>
    <col min="15362" max="15362" width="11.5703125" style="267" customWidth="1"/>
    <col min="15363" max="15363" width="12.140625" style="267" customWidth="1"/>
    <col min="15364" max="15364" width="13.42578125" style="267" customWidth="1"/>
    <col min="15365" max="15366" width="12.140625" style="267" customWidth="1"/>
    <col min="15367" max="15367" width="14.28515625" style="267" customWidth="1"/>
    <col min="15368" max="15369" width="15.28515625" style="267" customWidth="1"/>
    <col min="15370" max="15370" width="16.140625" style="267" customWidth="1"/>
    <col min="15371" max="15371" width="12.85546875" style="267" customWidth="1"/>
    <col min="15372" max="15613" width="9.140625" style="267"/>
    <col min="15614" max="15614" width="1.7109375" style="267" customWidth="1"/>
    <col min="15615" max="15615" width="17.28515625" style="267" customWidth="1"/>
    <col min="15616" max="15616" width="15.140625" style="267" customWidth="1"/>
    <col min="15617" max="15617" width="12.7109375" style="267" customWidth="1"/>
    <col min="15618" max="15618" width="11.5703125" style="267" customWidth="1"/>
    <col min="15619" max="15619" width="12.140625" style="267" customWidth="1"/>
    <col min="15620" max="15620" width="13.42578125" style="267" customWidth="1"/>
    <col min="15621" max="15622" width="12.140625" style="267" customWidth="1"/>
    <col min="15623" max="15623" width="14.28515625" style="267" customWidth="1"/>
    <col min="15624" max="15625" width="15.28515625" style="267" customWidth="1"/>
    <col min="15626" max="15626" width="16.140625" style="267" customWidth="1"/>
    <col min="15627" max="15627" width="12.85546875" style="267" customWidth="1"/>
    <col min="15628" max="15869" width="9.140625" style="267"/>
    <col min="15870" max="15870" width="1.7109375" style="267" customWidth="1"/>
    <col min="15871" max="15871" width="17.28515625" style="267" customWidth="1"/>
    <col min="15872" max="15872" width="15.140625" style="267" customWidth="1"/>
    <col min="15873" max="15873" width="12.7109375" style="267" customWidth="1"/>
    <col min="15874" max="15874" width="11.5703125" style="267" customWidth="1"/>
    <col min="15875" max="15875" width="12.140625" style="267" customWidth="1"/>
    <col min="15876" max="15876" width="13.42578125" style="267" customWidth="1"/>
    <col min="15877" max="15878" width="12.140625" style="267" customWidth="1"/>
    <col min="15879" max="15879" width="14.28515625" style="267" customWidth="1"/>
    <col min="15880" max="15881" width="15.28515625" style="267" customWidth="1"/>
    <col min="15882" max="15882" width="16.140625" style="267" customWidth="1"/>
    <col min="15883" max="15883" width="12.85546875" style="267" customWidth="1"/>
    <col min="15884" max="16125" width="9.140625" style="267"/>
    <col min="16126" max="16126" width="1.7109375" style="267" customWidth="1"/>
    <col min="16127" max="16127" width="17.28515625" style="267" customWidth="1"/>
    <col min="16128" max="16128" width="15.140625" style="267" customWidth="1"/>
    <col min="16129" max="16129" width="12.7109375" style="267" customWidth="1"/>
    <col min="16130" max="16130" width="11.5703125" style="267" customWidth="1"/>
    <col min="16131" max="16131" width="12.140625" style="267" customWidth="1"/>
    <col min="16132" max="16132" width="13.42578125" style="267" customWidth="1"/>
    <col min="16133" max="16134" width="12.140625" style="267" customWidth="1"/>
    <col min="16135" max="16135" width="14.28515625" style="267" customWidth="1"/>
    <col min="16136" max="16137" width="15.28515625" style="267" customWidth="1"/>
    <col min="16138" max="16138" width="16.140625" style="267" customWidth="1"/>
    <col min="16139" max="16139" width="12.85546875" style="267" customWidth="1"/>
    <col min="16140" max="16384" width="9.140625" style="267"/>
  </cols>
  <sheetData>
    <row r="1" spans="2:25">
      <c r="B1" s="266"/>
      <c r="I1" s="269"/>
      <c r="J1" s="267"/>
      <c r="K1" s="267"/>
    </row>
    <row r="2" spans="2:25">
      <c r="B2" s="270" t="s">
        <v>0</v>
      </c>
      <c r="C2" s="92" t="s">
        <v>1</v>
      </c>
      <c r="D2" s="267"/>
      <c r="E2" s="351"/>
      <c r="F2" s="267"/>
      <c r="G2" s="267"/>
      <c r="H2" s="267"/>
      <c r="I2" s="271"/>
      <c r="J2" s="271"/>
      <c r="K2" s="271"/>
      <c r="L2" s="271"/>
      <c r="M2" s="271"/>
      <c r="N2" s="271"/>
      <c r="O2" s="271"/>
      <c r="P2" s="271"/>
      <c r="Q2" s="271"/>
      <c r="R2" s="271"/>
      <c r="S2" s="271"/>
      <c r="T2" s="271"/>
      <c r="U2" s="271"/>
    </row>
    <row r="3" spans="2:25">
      <c r="B3" s="270" t="s">
        <v>2</v>
      </c>
      <c r="C3" s="92" t="s">
        <v>3</v>
      </c>
      <c r="D3" s="267"/>
      <c r="E3" s="267"/>
      <c r="F3" s="267"/>
      <c r="G3" s="267"/>
      <c r="H3" s="267"/>
      <c r="I3" s="271"/>
      <c r="J3" s="271"/>
      <c r="K3" s="271"/>
      <c r="L3" s="271"/>
      <c r="M3" s="271"/>
      <c r="N3" s="271"/>
      <c r="O3" s="271"/>
      <c r="P3" s="271"/>
      <c r="Q3" s="271"/>
      <c r="R3" s="271"/>
      <c r="S3" s="271"/>
      <c r="T3" s="271"/>
      <c r="U3" s="271"/>
    </row>
    <row r="4" spans="2:25">
      <c r="B4" s="270" t="s">
        <v>4</v>
      </c>
      <c r="C4" s="92" t="s">
        <v>333</v>
      </c>
      <c r="D4" s="267"/>
      <c r="E4" s="267"/>
      <c r="F4" s="267"/>
      <c r="G4" s="267"/>
      <c r="H4" s="267"/>
      <c r="I4" s="271"/>
      <c r="J4" s="271"/>
      <c r="K4" s="271"/>
      <c r="L4" s="271"/>
      <c r="M4" s="271"/>
      <c r="N4" s="271"/>
      <c r="O4" s="271"/>
      <c r="P4" s="271"/>
      <c r="Q4" s="271"/>
      <c r="R4" s="271"/>
      <c r="S4" s="271"/>
      <c r="T4" s="271"/>
      <c r="U4" s="271"/>
      <c r="V4" s="271"/>
      <c r="W4" s="271"/>
    </row>
    <row r="5" spans="2:25">
      <c r="B5" s="272"/>
      <c r="C5" s="272"/>
      <c r="D5" s="267"/>
      <c r="E5" s="267"/>
      <c r="F5" s="267"/>
      <c r="G5" s="267"/>
      <c r="H5" s="267"/>
      <c r="I5" s="271"/>
      <c r="J5" s="271"/>
      <c r="K5" s="271"/>
      <c r="L5" s="271"/>
      <c r="M5" s="271"/>
      <c r="N5" s="271"/>
      <c r="O5" s="271"/>
      <c r="P5" s="271"/>
      <c r="Q5" s="271"/>
      <c r="R5" s="271"/>
      <c r="S5" s="271"/>
      <c r="T5" s="271"/>
      <c r="U5" s="271"/>
      <c r="V5" s="271"/>
      <c r="W5" s="271"/>
      <c r="X5" s="271"/>
      <c r="Y5" s="271"/>
    </row>
    <row r="6" spans="2:25" s="273" customFormat="1" ht="15.75">
      <c r="B6" s="241" t="s">
        <v>334</v>
      </c>
      <c r="I6" s="274"/>
      <c r="J6" s="274"/>
      <c r="K6" s="274"/>
      <c r="L6" s="274"/>
      <c r="M6" s="274"/>
      <c r="N6" s="274"/>
      <c r="O6" s="274"/>
      <c r="P6" s="274"/>
      <c r="Q6" s="274"/>
      <c r="R6" s="274"/>
      <c r="S6" s="274"/>
      <c r="T6" s="274"/>
      <c r="U6" s="274"/>
      <c r="V6" s="274"/>
      <c r="W6" s="274"/>
      <c r="X6" s="274"/>
      <c r="Y6" s="274"/>
    </row>
    <row r="7" spans="2:25" ht="13.5" thickBot="1">
      <c r="B7" s="267" t="s">
        <v>5</v>
      </c>
      <c r="I7" s="269"/>
      <c r="J7" s="267"/>
      <c r="K7" s="267"/>
    </row>
    <row r="8" spans="2:25" ht="3" customHeight="1">
      <c r="B8" s="275"/>
      <c r="C8" s="276"/>
      <c r="D8" s="277"/>
      <c r="E8" s="277"/>
      <c r="F8" s="278"/>
      <c r="G8" s="324"/>
      <c r="H8" s="279"/>
      <c r="I8" s="269"/>
      <c r="J8" s="267"/>
      <c r="K8" s="267"/>
    </row>
    <row r="9" spans="2:25" ht="12.75" customHeight="1">
      <c r="B9" s="436" t="s">
        <v>6</v>
      </c>
      <c r="C9" s="437" t="s">
        <v>7</v>
      </c>
      <c r="D9" s="344"/>
      <c r="E9" s="344"/>
      <c r="F9" s="441" t="s">
        <v>8</v>
      </c>
      <c r="G9" s="438" t="s">
        <v>9</v>
      </c>
      <c r="H9" s="442" t="s">
        <v>10</v>
      </c>
      <c r="I9" s="269"/>
      <c r="J9" s="267"/>
      <c r="K9" s="267"/>
    </row>
    <row r="10" spans="2:25" ht="70.150000000000006" customHeight="1">
      <c r="B10" s="436"/>
      <c r="C10" s="437"/>
      <c r="D10" s="345" t="s">
        <v>11</v>
      </c>
      <c r="E10" s="345" t="s">
        <v>12</v>
      </c>
      <c r="F10" s="441"/>
      <c r="G10" s="439"/>
      <c r="H10" s="442"/>
      <c r="I10" s="269"/>
      <c r="J10" s="395"/>
      <c r="K10" s="395"/>
    </row>
    <row r="11" spans="2:25">
      <c r="B11" s="436"/>
      <c r="C11" s="437"/>
      <c r="D11" s="280" t="s">
        <v>13</v>
      </c>
      <c r="E11" s="280" t="s">
        <v>13</v>
      </c>
      <c r="F11" s="281" t="s">
        <v>13</v>
      </c>
      <c r="G11" s="439"/>
      <c r="H11" s="442"/>
      <c r="I11" s="269"/>
      <c r="J11" s="395"/>
      <c r="K11" s="395"/>
    </row>
    <row r="12" spans="2:25" ht="3" customHeight="1" thickBot="1">
      <c r="B12" s="282"/>
      <c r="C12" s="283"/>
      <c r="D12" s="284"/>
      <c r="E12" s="284"/>
      <c r="F12" s="285"/>
      <c r="G12" s="325"/>
      <c r="H12" s="286"/>
      <c r="I12" s="269"/>
      <c r="J12" s="395"/>
      <c r="K12" s="395"/>
    </row>
    <row r="13" spans="2:25" ht="3" customHeight="1">
      <c r="B13" s="287"/>
      <c r="C13" s="271"/>
      <c r="D13" s="288"/>
      <c r="E13" s="288"/>
      <c r="F13" s="289"/>
      <c r="G13" s="326"/>
      <c r="H13" s="290"/>
      <c r="I13" s="269"/>
      <c r="J13" s="395"/>
      <c r="K13" s="395"/>
    </row>
    <row r="14" spans="2:25">
      <c r="B14" s="291" t="s">
        <v>14</v>
      </c>
      <c r="C14" s="292" t="s">
        <v>15</v>
      </c>
      <c r="D14" s="293">
        <f>'3. Future Emissions Summary'!D19</f>
        <v>44.922216086892817</v>
      </c>
      <c r="E14" s="293">
        <f ca="1">'2. Project Emissions Summary'!C20</f>
        <v>54.47351820896499</v>
      </c>
      <c r="F14" s="294">
        <f ca="1">D14-E14</f>
        <v>-9.5513021220721726</v>
      </c>
      <c r="G14" s="327">
        <v>25</v>
      </c>
      <c r="H14" s="295" t="str">
        <f ca="1">IF(F14&gt;$G$14,"YES","NO")</f>
        <v>NO</v>
      </c>
      <c r="I14" s="269"/>
      <c r="J14" s="396"/>
      <c r="K14" s="397"/>
      <c r="L14" s="367"/>
      <c r="M14" s="367"/>
      <c r="N14" s="386"/>
    </row>
    <row r="15" spans="2:25" ht="15.75">
      <c r="B15" s="296" t="s">
        <v>16</v>
      </c>
      <c r="C15" s="297" t="s">
        <v>15</v>
      </c>
      <c r="D15" s="293">
        <f>'3. Future Emissions Summary'!F19</f>
        <v>17.841208474867845</v>
      </c>
      <c r="E15" s="293">
        <f ca="1">'2. Project Emissions Summary'!E20</f>
        <v>30.842155147157733</v>
      </c>
      <c r="F15" s="298">
        <f t="shared" ref="F15:F22" ca="1" si="0">D15-E15</f>
        <v>-13.000946672289889</v>
      </c>
      <c r="G15" s="328">
        <v>15</v>
      </c>
      <c r="H15" s="295" t="str">
        <f t="shared" ref="H15:H22" ca="1" si="1">IF(F15&gt;G15,"YES","NO")</f>
        <v>NO</v>
      </c>
      <c r="I15" s="299"/>
      <c r="J15" s="396"/>
      <c r="K15" s="397"/>
      <c r="L15" s="367"/>
      <c r="M15" s="367"/>
      <c r="N15" s="386"/>
    </row>
    <row r="16" spans="2:25" ht="15.75">
      <c r="B16" s="296" t="s">
        <v>17</v>
      </c>
      <c r="C16" s="297" t="s">
        <v>18</v>
      </c>
      <c r="D16" s="293">
        <f>'3. Future Emissions Summary'!H19</f>
        <v>10.722274881881471</v>
      </c>
      <c r="E16" s="293">
        <f ca="1">'2. Project Emissions Summary'!G20</f>
        <v>27.223946920498072</v>
      </c>
      <c r="F16" s="298">
        <f t="shared" ca="1" si="0"/>
        <v>-16.501672038616601</v>
      </c>
      <c r="G16" s="328">
        <v>10</v>
      </c>
      <c r="H16" s="295" t="str">
        <f t="shared" ca="1" si="1"/>
        <v>NO</v>
      </c>
      <c r="I16" s="299"/>
      <c r="J16" s="396"/>
      <c r="K16" s="397"/>
      <c r="L16" s="367"/>
      <c r="M16" s="367"/>
      <c r="N16" s="386"/>
    </row>
    <row r="17" spans="2:22" ht="15.75">
      <c r="B17" s="296" t="s">
        <v>19</v>
      </c>
      <c r="C17" s="297" t="s">
        <v>20</v>
      </c>
      <c r="D17" s="293">
        <f>'3. Future Emissions Summary'!L19</f>
        <v>2.9078250000000003</v>
      </c>
      <c r="E17" s="293">
        <f>'2. Project Emissions Summary'!K20</f>
        <v>6.0417291919109299</v>
      </c>
      <c r="F17" s="298">
        <f t="shared" ref="F17:F18" si="2">D17-E17</f>
        <v>-3.1339041919109296</v>
      </c>
      <c r="G17" s="328">
        <v>40</v>
      </c>
      <c r="H17" s="295" t="str">
        <f t="shared" ref="H17:H19" si="3">IF(F17&gt;G17,"YES","NO")</f>
        <v>NO</v>
      </c>
      <c r="I17" s="299"/>
      <c r="J17" s="396"/>
      <c r="K17" s="397"/>
      <c r="L17" s="367"/>
      <c r="M17" s="367"/>
      <c r="N17" s="386"/>
    </row>
    <row r="18" spans="2:22">
      <c r="B18" s="296" t="s">
        <v>21</v>
      </c>
      <c r="C18" s="297" t="s">
        <v>15</v>
      </c>
      <c r="D18" s="293">
        <f>'3. Future Emissions Summary'!N19</f>
        <v>18.900862499999999</v>
      </c>
      <c r="E18" s="293">
        <f>'2. Project Emissions Summary'!M20</f>
        <v>20.951157681626615</v>
      </c>
      <c r="F18" s="298">
        <f t="shared" si="2"/>
        <v>-2.0502951816266162</v>
      </c>
      <c r="G18" s="328">
        <v>100</v>
      </c>
      <c r="H18" s="295" t="str">
        <f t="shared" si="3"/>
        <v>NO</v>
      </c>
      <c r="I18" s="299"/>
      <c r="J18" s="396"/>
      <c r="K18" s="397"/>
      <c r="L18" s="367"/>
      <c r="M18" s="367"/>
      <c r="N18" s="386"/>
    </row>
    <row r="19" spans="2:22">
      <c r="B19" s="296" t="s">
        <v>22</v>
      </c>
      <c r="C19" s="297" t="s">
        <v>23</v>
      </c>
      <c r="D19" s="423">
        <f>'3. Future Emissions Summary'!P19</f>
        <v>0.29078250000000005</v>
      </c>
      <c r="E19" s="293">
        <f>'2. Project Emissions Summary'!O20</f>
        <v>0.57006638343030569</v>
      </c>
      <c r="F19" s="427">
        <f>D19-E19</f>
        <v>-0.27928388343030564</v>
      </c>
      <c r="G19" s="328">
        <v>40</v>
      </c>
      <c r="H19" s="432" t="str">
        <f t="shared" si="3"/>
        <v>NO</v>
      </c>
      <c r="I19" s="299"/>
      <c r="J19" s="396"/>
      <c r="K19" s="397"/>
      <c r="L19" s="367"/>
      <c r="M19" s="367"/>
      <c r="N19" s="386"/>
      <c r="P19" s="386"/>
      <c r="T19" s="386"/>
    </row>
    <row r="20" spans="2:22">
      <c r="B20" s="296" t="s">
        <v>24</v>
      </c>
      <c r="C20" s="297" t="s">
        <v>15</v>
      </c>
      <c r="D20" s="293">
        <f>'3. Future Emissions Summary'!V19</f>
        <v>1.609551492339028E-4</v>
      </c>
      <c r="E20" s="293">
        <f>'2. Project Emissions Summary'!Q20</f>
        <v>4.2231106265877019E-2</v>
      </c>
      <c r="F20" s="298">
        <f t="shared" si="0"/>
        <v>-4.2070151116643119E-2</v>
      </c>
      <c r="G20" s="329">
        <v>0.6</v>
      </c>
      <c r="H20" s="295" t="str">
        <f t="shared" si="1"/>
        <v>NO</v>
      </c>
      <c r="I20" s="299"/>
      <c r="J20" s="396"/>
      <c r="K20" s="397"/>
      <c r="L20" s="367"/>
      <c r="M20" s="367"/>
      <c r="N20" s="386"/>
    </row>
    <row r="21" spans="2:22" ht="15.75">
      <c r="B21" s="291" t="s">
        <v>25</v>
      </c>
      <c r="C21" s="292" t="s">
        <v>15</v>
      </c>
      <c r="D21" s="293">
        <f>'3. Future Emissions Summary'!T19</f>
        <v>40.70955</v>
      </c>
      <c r="E21" s="293">
        <f>'2. Project Emissions Summary'!S20</f>
        <v>51.159803641181242</v>
      </c>
      <c r="F21" s="298">
        <f t="shared" ref="F21" si="4">D21-E21</f>
        <v>-10.450253641181241</v>
      </c>
      <c r="G21" s="330">
        <v>10</v>
      </c>
      <c r="H21" s="295" t="str">
        <f t="shared" si="1"/>
        <v>NO</v>
      </c>
      <c r="I21" s="299"/>
      <c r="J21" s="396"/>
      <c r="K21" s="397"/>
      <c r="L21" s="367"/>
      <c r="M21" s="367"/>
      <c r="N21" s="386"/>
    </row>
    <row r="22" spans="2:22" ht="15.75">
      <c r="B22" s="366" t="s">
        <v>26</v>
      </c>
      <c r="C22" s="390" t="s">
        <v>20</v>
      </c>
      <c r="D22" s="300">
        <f>'3. Future Emissions Summary'!J19</f>
        <v>23.262600000000003</v>
      </c>
      <c r="E22" s="300">
        <f>'2. Project Emissions Summary'!I20</f>
        <v>29.234173509246432</v>
      </c>
      <c r="F22" s="301">
        <f t="shared" si="0"/>
        <v>-5.9715735092464293</v>
      </c>
      <c r="G22" s="332">
        <v>40</v>
      </c>
      <c r="H22" s="302" t="str">
        <f t="shared" si="1"/>
        <v>NO</v>
      </c>
      <c r="I22" s="299"/>
      <c r="J22" s="396"/>
      <c r="K22" s="397"/>
      <c r="L22" s="367"/>
      <c r="M22" s="367"/>
      <c r="N22" s="386"/>
    </row>
    <row r="23" spans="2:22" ht="6" customHeight="1" thickBot="1">
      <c r="B23" s="303"/>
      <c r="C23" s="304"/>
      <c r="D23" s="284"/>
      <c r="E23" s="284"/>
      <c r="F23" s="285"/>
      <c r="G23" s="331"/>
      <c r="H23" s="286"/>
      <c r="I23" s="269"/>
      <c r="J23" s="267"/>
      <c r="K23" s="267"/>
    </row>
    <row r="24" spans="2:22" ht="6" customHeight="1">
      <c r="I24" s="269"/>
      <c r="J24" s="267"/>
      <c r="K24" s="267"/>
    </row>
    <row r="25" spans="2:22">
      <c r="B25" s="305" t="s">
        <v>27</v>
      </c>
      <c r="I25" s="306"/>
      <c r="J25" s="267"/>
      <c r="K25" s="267"/>
    </row>
    <row r="26" spans="2:22" ht="21" customHeight="1">
      <c r="B26" s="440" t="s">
        <v>28</v>
      </c>
      <c r="C26" s="440"/>
      <c r="D26" s="440"/>
      <c r="E26" s="440"/>
      <c r="F26" s="440"/>
      <c r="G26" s="440"/>
      <c r="H26" s="440"/>
      <c r="I26" s="307"/>
      <c r="J26" s="307"/>
      <c r="K26" s="308"/>
    </row>
    <row r="27" spans="2:22" ht="30.75" customHeight="1">
      <c r="B27" s="435" t="s">
        <v>29</v>
      </c>
      <c r="C27" s="435"/>
      <c r="D27" s="435"/>
      <c r="E27" s="435"/>
      <c r="F27" s="435"/>
      <c r="G27" s="435"/>
      <c r="H27" s="435"/>
      <c r="I27" s="267"/>
      <c r="J27" s="267"/>
      <c r="K27" s="267"/>
    </row>
    <row r="28" spans="2:22">
      <c r="B28" s="267" t="s">
        <v>30</v>
      </c>
      <c r="C28" s="383">
        <v>44530</v>
      </c>
    </row>
    <row r="29" spans="2:22" ht="45.75" customHeight="1">
      <c r="B29" s="434" t="s">
        <v>332</v>
      </c>
      <c r="C29" s="434"/>
      <c r="D29" s="434"/>
      <c r="E29" s="434"/>
      <c r="F29" s="434"/>
      <c r="G29" s="434"/>
      <c r="H29" s="434"/>
    </row>
    <row r="30" spans="2:22">
      <c r="B30" s="2"/>
      <c r="C30" s="2"/>
      <c r="D30" s="2"/>
      <c r="E30" s="2"/>
      <c r="I30" s="2"/>
      <c r="J30" s="2"/>
      <c r="K30" s="2"/>
      <c r="L30" s="2"/>
      <c r="M30" s="2"/>
      <c r="N30" s="2"/>
      <c r="O30" s="2"/>
      <c r="P30" s="2"/>
      <c r="Q30" s="2"/>
      <c r="R30" s="2"/>
      <c r="S30" s="2"/>
      <c r="T30" s="2"/>
      <c r="U30" s="2"/>
      <c r="V30" s="2"/>
    </row>
    <row r="31" spans="2:22" ht="13.5" thickBot="1">
      <c r="B31" s="34" t="s">
        <v>31</v>
      </c>
      <c r="C31" s="2"/>
      <c r="D31" s="2"/>
      <c r="E31" s="2"/>
      <c r="I31" s="2"/>
      <c r="J31" s="2"/>
      <c r="K31" s="2"/>
      <c r="L31" s="2"/>
      <c r="M31" s="2"/>
      <c r="N31" s="2"/>
      <c r="O31" s="2"/>
      <c r="P31" s="2"/>
      <c r="Q31" s="2"/>
      <c r="R31" s="2"/>
      <c r="S31" s="2"/>
      <c r="T31" s="2"/>
      <c r="U31" s="2"/>
      <c r="V31" s="2"/>
    </row>
    <row r="32" spans="2:22">
      <c r="B32" s="309" t="s">
        <v>32</v>
      </c>
      <c r="C32" s="310"/>
      <c r="D32" s="391">
        <v>1</v>
      </c>
      <c r="E32" s="2"/>
      <c r="F32" s="2"/>
      <c r="G32" s="2"/>
      <c r="H32" s="2"/>
      <c r="I32" s="2"/>
      <c r="J32" s="2"/>
      <c r="K32" s="2"/>
      <c r="L32" s="2"/>
      <c r="M32" s="2"/>
      <c r="N32" s="2"/>
      <c r="O32" s="2"/>
      <c r="P32" s="2"/>
      <c r="Q32" s="2"/>
      <c r="R32" s="2"/>
      <c r="S32" s="2"/>
      <c r="T32" s="2"/>
      <c r="U32" s="2"/>
      <c r="V32" s="2"/>
    </row>
    <row r="33" spans="2:22" ht="13.5" thickBot="1">
      <c r="B33" s="311" t="s">
        <v>33</v>
      </c>
      <c r="C33" s="312"/>
      <c r="D33" s="392">
        <f>1-D32</f>
        <v>0</v>
      </c>
      <c r="E33" s="2"/>
      <c r="F33" s="2"/>
      <c r="G33" s="2"/>
      <c r="H33" s="2"/>
      <c r="I33" s="2"/>
      <c r="J33" s="2"/>
      <c r="K33" s="2"/>
      <c r="L33" s="2"/>
      <c r="M33" s="2"/>
      <c r="N33" s="2"/>
      <c r="O33" s="2"/>
      <c r="P33" s="2"/>
      <c r="Q33" s="2"/>
      <c r="R33" s="2"/>
      <c r="S33" s="2"/>
      <c r="T33" s="2"/>
      <c r="U33" s="2"/>
      <c r="V33" s="2"/>
    </row>
    <row r="34" spans="2:22">
      <c r="B34" s="309" t="s">
        <v>34</v>
      </c>
      <c r="C34" s="340"/>
      <c r="D34" s="381">
        <v>581565</v>
      </c>
      <c r="E34" s="2" t="s">
        <v>35</v>
      </c>
      <c r="F34" s="2"/>
      <c r="G34" s="2"/>
      <c r="H34" s="2"/>
      <c r="I34" s="2"/>
      <c r="J34" s="2"/>
      <c r="K34" s="2"/>
      <c r="L34" s="2"/>
      <c r="M34" s="2"/>
      <c r="N34" s="2"/>
      <c r="O34" s="2"/>
      <c r="P34" s="2"/>
      <c r="Q34" s="2"/>
      <c r="R34" s="2"/>
      <c r="S34" s="2"/>
      <c r="T34" s="2"/>
      <c r="U34" s="2"/>
      <c r="V34" s="2"/>
    </row>
    <row r="35" spans="2:22">
      <c r="B35" s="341" t="s">
        <v>36</v>
      </c>
      <c r="C35" s="2"/>
      <c r="D35" s="321">
        <f>D34*D32</f>
        <v>581565</v>
      </c>
      <c r="E35" s="2"/>
      <c r="F35" s="2"/>
      <c r="G35" s="2"/>
      <c r="H35" s="2"/>
      <c r="I35" s="2"/>
      <c r="J35" s="2"/>
      <c r="K35" s="2"/>
      <c r="L35" s="2"/>
      <c r="M35" s="2"/>
      <c r="N35" s="2"/>
      <c r="O35" s="2"/>
      <c r="P35" s="2"/>
      <c r="Q35" s="2"/>
      <c r="R35" s="2"/>
      <c r="S35" s="2"/>
      <c r="T35" s="2"/>
      <c r="U35" s="2"/>
      <c r="V35" s="2"/>
    </row>
    <row r="36" spans="2:22" ht="13.5" thickBot="1">
      <c r="B36" s="311" t="s">
        <v>37</v>
      </c>
      <c r="C36" s="342"/>
      <c r="D36" s="322">
        <f>D34-D35</f>
        <v>0</v>
      </c>
    </row>
    <row r="37" spans="2:22">
      <c r="D37" s="343"/>
    </row>
    <row r="38" spans="2:22">
      <c r="D38" s="343"/>
    </row>
    <row r="39" spans="2:22">
      <c r="E39" s="364"/>
      <c r="F39" s="364"/>
    </row>
    <row r="40" spans="2:22">
      <c r="B40" s="376"/>
      <c r="C40" s="376"/>
      <c r="D40" s="377"/>
      <c r="E40" s="377"/>
      <c r="F40" s="377"/>
      <c r="G40" s="377"/>
      <c r="H40" s="377"/>
      <c r="I40" s="377"/>
      <c r="J40" s="377"/>
      <c r="K40" s="377"/>
    </row>
    <row r="41" spans="2:22">
      <c r="B41" s="376"/>
      <c r="C41" s="376"/>
      <c r="D41" s="377"/>
      <c r="E41" s="378"/>
      <c r="F41" s="378"/>
      <c r="G41" s="378"/>
      <c r="H41" s="378"/>
      <c r="I41" s="378"/>
      <c r="J41" s="378"/>
      <c r="K41" s="378"/>
    </row>
    <row r="42" spans="2:22">
      <c r="B42" s="376"/>
      <c r="C42" s="376"/>
      <c r="D42" s="377"/>
      <c r="E42" s="378"/>
      <c r="F42" s="378"/>
      <c r="G42" s="378"/>
      <c r="H42" s="378"/>
      <c r="I42" s="378"/>
      <c r="J42" s="378"/>
      <c r="K42" s="378"/>
    </row>
    <row r="46" spans="2:22">
      <c r="D46" s="379"/>
      <c r="E46" s="377"/>
      <c r="F46" s="377"/>
    </row>
    <row r="47" spans="2:22">
      <c r="D47" s="378"/>
      <c r="E47" s="377"/>
      <c r="F47" s="377"/>
    </row>
    <row r="48" spans="2:22">
      <c r="D48" s="378"/>
      <c r="E48" s="377"/>
      <c r="F48" s="377"/>
    </row>
    <row r="54" ht="27" customHeight="1"/>
  </sheetData>
  <mergeCells count="8">
    <mergeCell ref="B29:H29"/>
    <mergeCell ref="B27:H27"/>
    <mergeCell ref="B9:B11"/>
    <mergeCell ref="C9:C11"/>
    <mergeCell ref="G9:G11"/>
    <mergeCell ref="B26:H26"/>
    <mergeCell ref="F9:F10"/>
    <mergeCell ref="H9:H11"/>
  </mergeCells>
  <conditionalFormatting sqref="H14:H22">
    <cfRule type="cellIs" dxfId="13" priority="6" operator="equal">
      <formula>"Yes"</formula>
    </cfRule>
  </conditionalFormatting>
  <pageMargins left="0.7" right="0.7" top="0.75" bottom="0.75" header="0.3" footer="0.3"/>
  <pageSetup scale="9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9576D-293F-4385-8B9F-371688452F28}">
  <sheetPr>
    <tabColor theme="1"/>
    <pageSetUpPr fitToPage="1"/>
  </sheetPr>
  <dimension ref="A1"/>
  <sheetViews>
    <sheetView workbookViewId="0">
      <selection activeCell="C25" sqref="C25"/>
    </sheetView>
  </sheetViews>
  <sheetFormatPr defaultColWidth="9.140625" defaultRowHeight="12.75"/>
  <cols>
    <col min="1" max="16384" width="9.140625" style="2"/>
  </cols>
  <sheetData/>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0F465-8B2B-4CE6-B8F8-7285AEC18DCA}">
  <sheetPr>
    <tabColor rgb="FF92D050"/>
    <pageSetUpPr fitToPage="1"/>
  </sheetPr>
  <dimension ref="B3:T54"/>
  <sheetViews>
    <sheetView zoomScale="150" zoomScaleNormal="150" zoomScaleSheetLayoutView="140" workbookViewId="0">
      <selection activeCell="P16" sqref="P16"/>
    </sheetView>
  </sheetViews>
  <sheetFormatPr defaultColWidth="8.85546875" defaultRowHeight="12.75"/>
  <cols>
    <col min="1" max="1" width="2.7109375" style="2" customWidth="1"/>
    <col min="2" max="2" width="17.7109375" style="2" customWidth="1"/>
    <col min="3" max="3" width="19.85546875" style="2" bestFit="1" customWidth="1"/>
    <col min="4" max="4" width="15.5703125" style="2" bestFit="1" customWidth="1"/>
    <col min="5" max="16384" width="8.85546875" style="2"/>
  </cols>
  <sheetData>
    <row r="3" spans="2:18">
      <c r="B3" s="6" t="s">
        <v>0</v>
      </c>
      <c r="C3" s="7" t="str">
        <f>'1. Step 1 Evaluation'!C2</f>
        <v>U. S. Steel</v>
      </c>
    </row>
    <row r="4" spans="2:18">
      <c r="B4" s="6" t="s">
        <v>2</v>
      </c>
      <c r="C4" s="7" t="str">
        <f>'1. Step 1 Evaluation'!C3</f>
        <v>Edgar Thomson Plant</v>
      </c>
    </row>
    <row r="5" spans="2:18">
      <c r="B5" s="6" t="s">
        <v>4</v>
      </c>
      <c r="C5" s="7" t="str">
        <f>'1. Step 1 Evaluation'!C4</f>
        <v>Slag Recycler Project</v>
      </c>
    </row>
    <row r="7" spans="2:18" ht="13.5" thickBot="1">
      <c r="B7" s="38" t="s">
        <v>270</v>
      </c>
    </row>
    <row r="8" spans="2:18" ht="13.5" thickBot="1">
      <c r="I8" s="465" t="s">
        <v>271</v>
      </c>
      <c r="J8" s="466"/>
      <c r="K8" s="466"/>
      <c r="L8" s="466"/>
      <c r="M8" s="466"/>
      <c r="N8" s="465" t="s">
        <v>272</v>
      </c>
      <c r="O8" s="466"/>
      <c r="P8" s="466"/>
      <c r="Q8" s="466"/>
      <c r="R8" s="467"/>
    </row>
    <row r="9" spans="2:18" ht="40.5" customHeight="1">
      <c r="B9" s="39" t="s">
        <v>273</v>
      </c>
      <c r="C9" s="57" t="s">
        <v>274</v>
      </c>
      <c r="D9" s="58" t="s">
        <v>275</v>
      </c>
      <c r="E9" s="58" t="s">
        <v>276</v>
      </c>
      <c r="F9" s="58" t="s">
        <v>277</v>
      </c>
      <c r="G9" s="58" t="s">
        <v>278</v>
      </c>
      <c r="H9" s="59" t="s">
        <v>279</v>
      </c>
      <c r="I9" s="58" t="s">
        <v>280</v>
      </c>
      <c r="J9" s="58" t="s">
        <v>44</v>
      </c>
      <c r="K9" s="58" t="s">
        <v>56</v>
      </c>
      <c r="L9" s="58" t="s">
        <v>40</v>
      </c>
      <c r="M9" s="59" t="s">
        <v>41</v>
      </c>
      <c r="N9" s="58" t="s">
        <v>280</v>
      </c>
      <c r="O9" s="58" t="s">
        <v>44</v>
      </c>
      <c r="P9" s="58" t="s">
        <v>56</v>
      </c>
      <c r="Q9" s="58" t="s">
        <v>40</v>
      </c>
      <c r="R9" s="59" t="s">
        <v>41</v>
      </c>
    </row>
    <row r="10" spans="2:18" ht="13.5">
      <c r="B10" s="47">
        <v>2019</v>
      </c>
      <c r="C10" s="48" t="s">
        <v>292</v>
      </c>
      <c r="D10" s="49">
        <f>'8b. Baseline Emissions_Other'!D21</f>
        <v>436112</v>
      </c>
      <c r="E10" s="49">
        <f>'8b. Baseline Emissions_Other'!E21</f>
        <v>105882</v>
      </c>
      <c r="F10" s="49">
        <f>'8b. Baseline Emissions_Other'!F21</f>
        <v>87958</v>
      </c>
      <c r="G10" s="49">
        <f>'8b. Baseline Emissions_Other'!G21</f>
        <v>41674.344834997872</v>
      </c>
      <c r="H10" s="60">
        <v>2653.0767607526227</v>
      </c>
      <c r="I10" s="61">
        <f t="shared" ref="I10:I33" si="0">H10/2000</f>
        <v>1.3265383803763113</v>
      </c>
      <c r="J10" s="62">
        <f t="shared" ref="J10:J33" si="1">$C$37*(G10)/2000</f>
        <v>4.3758062076747768</v>
      </c>
      <c r="K10" s="62">
        <f t="shared" ref="K10:K33" si="2">G10*$C$38/2000</f>
        <v>1.966701341336876E-2</v>
      </c>
      <c r="L10" s="62">
        <f t="shared" ref="L10:L33" si="3">G10*$C$39/2000</f>
        <v>9.3019658036203583E-3</v>
      </c>
      <c r="M10" s="63">
        <f t="shared" ref="M10:M33" si="4">G10*$C$40/2000</f>
        <v>1.4085833931196546E-3</v>
      </c>
      <c r="N10" s="62">
        <f>SUM(I10:I10)/2</f>
        <v>0.66326919018815567</v>
      </c>
      <c r="O10" s="62">
        <f>SUM(J10:J10)/2</f>
        <v>2.1879031038373884</v>
      </c>
      <c r="P10" s="62">
        <f>SUM(K10:K10)/2</f>
        <v>9.83350670668438E-3</v>
      </c>
      <c r="Q10" s="62">
        <f>SUM(L10:L10)/2</f>
        <v>4.6509829018101792E-3</v>
      </c>
      <c r="R10" s="63">
        <f>SUM(M10:M10)/2</f>
        <v>7.042916965598273E-4</v>
      </c>
    </row>
    <row r="11" spans="2:18" ht="13.5">
      <c r="B11" s="47">
        <v>2020</v>
      </c>
      <c r="C11" s="48" t="s">
        <v>281</v>
      </c>
      <c r="D11" s="49">
        <f>'8b. Baseline Emissions_Other'!D22</f>
        <v>484330</v>
      </c>
      <c r="E11" s="49">
        <f>'8b. Baseline Emissions_Other'!E22</f>
        <v>111834</v>
      </c>
      <c r="F11" s="49">
        <f>'8b. Baseline Emissions_Other'!F22</f>
        <v>80628</v>
      </c>
      <c r="G11" s="49">
        <f>'8b. Baseline Emissions_Other'!G22</f>
        <v>42557.336005062221</v>
      </c>
      <c r="H11" s="60">
        <v>3051.0578694972705</v>
      </c>
      <c r="I11" s="61">
        <f t="shared" si="0"/>
        <v>1.5255289347486352</v>
      </c>
      <c r="J11" s="62">
        <f t="shared" si="1"/>
        <v>4.4685202805315329</v>
      </c>
      <c r="K11" s="62">
        <f t="shared" si="2"/>
        <v>2.008371580555509E-2</v>
      </c>
      <c r="L11" s="62">
        <f t="shared" si="3"/>
        <v>9.4990547728976797E-3</v>
      </c>
      <c r="M11" s="63">
        <f t="shared" si="4"/>
        <v>1.4384282941816487E-3</v>
      </c>
      <c r="N11" s="62">
        <f>SUM(I10:I11)/2</f>
        <v>1.4260336575624732</v>
      </c>
      <c r="O11" s="62">
        <f>SUM(J10:J11)/2</f>
        <v>4.4221632441031549</v>
      </c>
      <c r="P11" s="62">
        <f>SUM(K10:K11)/2</f>
        <v>1.9875364609461925E-2</v>
      </c>
      <c r="Q11" s="62">
        <f>SUM(L10:L11)/2</f>
        <v>9.4005102882590182E-3</v>
      </c>
      <c r="R11" s="63">
        <f>SUM(M10:M11)/2</f>
        <v>1.4235058436506518E-3</v>
      </c>
    </row>
    <row r="12" spans="2:18" ht="13.5">
      <c r="B12" s="47">
        <v>2020</v>
      </c>
      <c r="C12" s="48" t="s">
        <v>282</v>
      </c>
      <c r="D12" s="49">
        <f>'8b. Baseline Emissions_Other'!D23</f>
        <v>484330</v>
      </c>
      <c r="E12" s="49">
        <f>'8b. Baseline Emissions_Other'!E23</f>
        <v>110357</v>
      </c>
      <c r="F12" s="49">
        <f>'8b. Baseline Emissions_Other'!F23</f>
        <v>85644</v>
      </c>
      <c r="G12" s="49">
        <f>'8b. Baseline Emissions_Other'!G23</f>
        <v>43339.882233002885</v>
      </c>
      <c r="H12" s="60">
        <v>2940.8414197870516</v>
      </c>
      <c r="I12" s="61">
        <f t="shared" si="0"/>
        <v>1.4704207098935258</v>
      </c>
      <c r="J12" s="62">
        <f t="shared" si="1"/>
        <v>4.5506876344653024</v>
      </c>
      <c r="K12" s="62">
        <f t="shared" si="2"/>
        <v>2.0453016084237947E-2</v>
      </c>
      <c r="L12" s="62">
        <f t="shared" si="3"/>
        <v>9.6737238236260566E-3</v>
      </c>
      <c r="M12" s="63">
        <f t="shared" si="4"/>
        <v>1.4648781790062317E-3</v>
      </c>
      <c r="N12" s="62">
        <f>SUM(I10:I12)/2</f>
        <v>2.1612440125092363</v>
      </c>
      <c r="O12" s="62">
        <f>SUM(J10:J12)/2</f>
        <v>6.6975070613358056</v>
      </c>
      <c r="P12" s="62">
        <f>SUM(K10:K12)/2</f>
        <v>3.0101872651580899E-2</v>
      </c>
      <c r="Q12" s="62">
        <f>SUM(L10:L12)/2</f>
        <v>1.4237372200072047E-2</v>
      </c>
      <c r="R12" s="63">
        <f>SUM(M10:M12)/2</f>
        <v>2.1559449331537677E-3</v>
      </c>
    </row>
    <row r="13" spans="2:18" ht="13.5">
      <c r="B13" s="47">
        <v>2020</v>
      </c>
      <c r="C13" s="48" t="s">
        <v>283</v>
      </c>
      <c r="D13" s="49">
        <f>'8b. Baseline Emissions_Other'!D24</f>
        <v>484330</v>
      </c>
      <c r="E13" s="49">
        <f>'8b. Baseline Emissions_Other'!E24</f>
        <v>109251</v>
      </c>
      <c r="F13" s="49">
        <f>'8b. Baseline Emissions_Other'!F24</f>
        <v>87528</v>
      </c>
      <c r="G13" s="49">
        <f>'8b. Baseline Emissions_Other'!G24</f>
        <v>43511.914153132253</v>
      </c>
      <c r="H13" s="60">
        <v>3476.747433279269</v>
      </c>
      <c r="I13" s="61">
        <f t="shared" si="0"/>
        <v>1.7383737166396345</v>
      </c>
      <c r="J13" s="62">
        <f t="shared" si="1"/>
        <v>4.5687509860788857</v>
      </c>
      <c r="K13" s="62">
        <f t="shared" si="2"/>
        <v>2.0534201621625701E-2</v>
      </c>
      <c r="L13" s="62">
        <f t="shared" si="3"/>
        <v>9.7121223886067511E-3</v>
      </c>
      <c r="M13" s="63">
        <f t="shared" si="4"/>
        <v>1.4706928188461654E-3</v>
      </c>
      <c r="N13" s="62">
        <f>SUM(I10:I13)/2</f>
        <v>3.0304308708290533</v>
      </c>
      <c r="O13" s="62">
        <f>SUM(J10:J13)/2</f>
        <v>8.9818825543752485</v>
      </c>
      <c r="P13" s="62">
        <f>SUM(K10:K13)/2</f>
        <v>4.0368973462393751E-2</v>
      </c>
      <c r="Q13" s="62">
        <f>SUM(L10:L13)/2</f>
        <v>1.9093433394375421E-2</v>
      </c>
      <c r="R13" s="63">
        <f>SUM(M10:M13)/2</f>
        <v>2.8912913425768504E-3</v>
      </c>
    </row>
    <row r="14" spans="2:18" ht="13.5">
      <c r="B14" s="47">
        <v>2020</v>
      </c>
      <c r="C14" s="48" t="s">
        <v>284</v>
      </c>
      <c r="D14" s="49">
        <f>'8b. Baseline Emissions_Other'!D25</f>
        <v>484330</v>
      </c>
      <c r="E14" s="49">
        <f>'8b. Baseline Emissions_Other'!E25</f>
        <v>72706</v>
      </c>
      <c r="F14" s="49">
        <f>'8b. Baseline Emissions_Other'!F25</f>
        <v>58457</v>
      </c>
      <c r="G14" s="49">
        <f>'8b. Baseline Emissions_Other'!G25</f>
        <v>29002.856992195739</v>
      </c>
      <c r="H14" s="60">
        <v>3832.3549598931986</v>
      </c>
      <c r="I14" s="61">
        <f t="shared" si="0"/>
        <v>1.9161774799465994</v>
      </c>
      <c r="J14" s="62">
        <f t="shared" si="1"/>
        <v>3.0452999841805526</v>
      </c>
      <c r="K14" s="62">
        <f t="shared" si="2"/>
        <v>1.3687067661169594E-2</v>
      </c>
      <c r="L14" s="62">
        <f t="shared" si="3"/>
        <v>6.4736130829856197E-3</v>
      </c>
      <c r="M14" s="63">
        <f t="shared" si="4"/>
        <v>9.8028998113782254E-4</v>
      </c>
      <c r="N14" s="62">
        <f>SUM(I10:I14)/2</f>
        <v>3.9885196108023528</v>
      </c>
      <c r="O14" s="62">
        <f>SUM(J10:J14)/2</f>
        <v>10.504532546465525</v>
      </c>
      <c r="P14" s="62">
        <f>SUM(K10:K14)/2</f>
        <v>4.7212507292978545E-2</v>
      </c>
      <c r="Q14" s="62">
        <f>SUM(L10:L14)/2</f>
        <v>2.2330239935868232E-2</v>
      </c>
      <c r="R14" s="63">
        <f>SUM(M10:M14)/2</f>
        <v>3.3814363331457617E-3</v>
      </c>
    </row>
    <row r="15" spans="2:18" ht="13.5">
      <c r="B15" s="47">
        <v>2020</v>
      </c>
      <c r="C15" s="48" t="s">
        <v>285</v>
      </c>
      <c r="D15" s="49">
        <f>'8b. Baseline Emissions_Other'!D26</f>
        <v>484330</v>
      </c>
      <c r="E15" s="49">
        <f>'8b. Baseline Emissions_Other'!E26</f>
        <v>0</v>
      </c>
      <c r="F15" s="49">
        <f>'8b. Baseline Emissions_Other'!F26</f>
        <v>78059</v>
      </c>
      <c r="G15" s="49">
        <f>'8b. Baseline Emissions_Other'!G26</f>
        <v>17260.462279406594</v>
      </c>
      <c r="H15" s="60">
        <v>2424.8362976611552</v>
      </c>
      <c r="I15" s="61">
        <f t="shared" si="0"/>
        <v>1.2124181488305776</v>
      </c>
      <c r="J15" s="62">
        <f t="shared" si="1"/>
        <v>1.8123485393376924</v>
      </c>
      <c r="K15" s="62">
        <f t="shared" si="2"/>
        <v>8.1455808007078016E-3</v>
      </c>
      <c r="L15" s="62">
        <f t="shared" si="3"/>
        <v>3.852639567902339E-3</v>
      </c>
      <c r="M15" s="63">
        <f t="shared" si="4"/>
        <v>5.8339970599663991E-4</v>
      </c>
      <c r="N15" s="62">
        <f>SUM(I10:I15)/2</f>
        <v>4.5947286852176417</v>
      </c>
      <c r="O15" s="62">
        <f>SUM(J10:J15)/2</f>
        <v>11.41070681613437</v>
      </c>
      <c r="P15" s="62">
        <f>SUM(K10:K15)/2</f>
        <v>5.1285297693332448E-2</v>
      </c>
      <c r="Q15" s="62">
        <f>SUM(L10:L15)/2</f>
        <v>2.4256559719819402E-2</v>
      </c>
      <c r="R15" s="63">
        <f>SUM(M10:M15)/2</f>
        <v>3.6731361861440815E-3</v>
      </c>
    </row>
    <row r="16" spans="2:18" ht="13.5">
      <c r="B16" s="47">
        <v>2020</v>
      </c>
      <c r="C16" s="48" t="s">
        <v>286</v>
      </c>
      <c r="D16" s="49">
        <f>'8b. Baseline Emissions_Other'!D27</f>
        <v>484330</v>
      </c>
      <c r="E16" s="49">
        <f>'8b. Baseline Emissions_Other'!E27</f>
        <v>90315</v>
      </c>
      <c r="F16" s="49">
        <f>'8b. Baseline Emissions_Other'!F27</f>
        <v>77659</v>
      </c>
      <c r="G16" s="49">
        <f>'8b. Baseline Emissions_Other'!G27</f>
        <v>37142.531814666385</v>
      </c>
      <c r="H16" s="60">
        <v>1570.8552171793494</v>
      </c>
      <c r="I16" s="61">
        <f t="shared" si="0"/>
        <v>0.78542760858967475</v>
      </c>
      <c r="J16" s="62">
        <f t="shared" si="1"/>
        <v>3.8999658405399704</v>
      </c>
      <c r="K16" s="62">
        <f t="shared" si="2"/>
        <v>1.7528354058059831E-2</v>
      </c>
      <c r="L16" s="62">
        <f t="shared" si="3"/>
        <v>8.2904377301634344E-3</v>
      </c>
      <c r="M16" s="63">
        <f t="shared" si="4"/>
        <v>1.2554091419961773E-3</v>
      </c>
      <c r="N16" s="62">
        <f>SUM(I10:I16)/2</f>
        <v>4.9874424895124791</v>
      </c>
      <c r="O16" s="62">
        <f>SUM(J10:J16)/2</f>
        <v>13.360689736404355</v>
      </c>
      <c r="P16" s="62">
        <f>SUM(K10:K16)/2</f>
        <v>6.0049474722362363E-2</v>
      </c>
      <c r="Q16" s="62">
        <f>SUM(L10:L16)/2</f>
        <v>2.840177858490112E-2</v>
      </c>
      <c r="R16" s="63">
        <f>SUM(M10:M16)/2</f>
        <v>4.3008407571421704E-3</v>
      </c>
    </row>
    <row r="17" spans="2:20" ht="13.5">
      <c r="B17" s="47">
        <v>2020</v>
      </c>
      <c r="C17" s="48" t="s">
        <v>287</v>
      </c>
      <c r="D17" s="49">
        <f>'8b. Baseline Emissions_Other'!D28</f>
        <v>484330</v>
      </c>
      <c r="E17" s="49">
        <f>'8b. Baseline Emissions_Other'!E28</f>
        <v>101452</v>
      </c>
      <c r="F17" s="49">
        <f>'8b. Baseline Emissions_Other'!F28</f>
        <v>92613</v>
      </c>
      <c r="G17" s="49">
        <f>'8b. Baseline Emissions_Other'!G28</f>
        <v>42911.792519159106</v>
      </c>
      <c r="H17" s="60">
        <v>2316.700972614382</v>
      </c>
      <c r="I17" s="61">
        <f t="shared" si="0"/>
        <v>1.158350486307191</v>
      </c>
      <c r="J17" s="62">
        <f t="shared" si="1"/>
        <v>4.5057382145117062</v>
      </c>
      <c r="K17" s="62">
        <f t="shared" si="2"/>
        <v>2.0250991405082814E-2</v>
      </c>
      <c r="L17" s="62">
        <f t="shared" si="3"/>
        <v>9.5781716105121425E-3</v>
      </c>
      <c r="M17" s="63">
        <f t="shared" si="4"/>
        <v>1.4504088438775534E-3</v>
      </c>
      <c r="N17" s="62">
        <f>SUM(I10:I17)/2</f>
        <v>5.5666177326660744</v>
      </c>
      <c r="O17" s="62">
        <f>SUM(J10:J17)/2</f>
        <v>15.613558843660208</v>
      </c>
      <c r="P17" s="62">
        <f>SUM(K10:K17)/2</f>
        <v>7.0174970424903768E-2</v>
      </c>
      <c r="Q17" s="62">
        <f>SUM(L10:L17)/2</f>
        <v>3.3190864390157192E-2</v>
      </c>
      <c r="R17" s="63">
        <f>SUM(M10:M17)/2</f>
        <v>5.0260451790809469E-3</v>
      </c>
    </row>
    <row r="18" spans="2:20" ht="13.5">
      <c r="B18" s="47">
        <v>2020</v>
      </c>
      <c r="C18" s="48" t="s">
        <v>288</v>
      </c>
      <c r="D18" s="49">
        <f>'8b. Baseline Emissions_Other'!D29</f>
        <v>484330</v>
      </c>
      <c r="E18" s="49">
        <f>'8b. Baseline Emissions_Other'!E29</f>
        <v>103117</v>
      </c>
      <c r="F18" s="49">
        <f>'8b. Baseline Emissions_Other'!F29</f>
        <v>94780</v>
      </c>
      <c r="G18" s="49">
        <f>'8b. Baseline Emissions_Other'!G29</f>
        <v>43759.127118048229</v>
      </c>
      <c r="H18" s="60">
        <v>2856.616832207797</v>
      </c>
      <c r="I18" s="61">
        <f t="shared" si="0"/>
        <v>1.4283084161038986</v>
      </c>
      <c r="J18" s="62">
        <f t="shared" si="1"/>
        <v>4.5947083473950645</v>
      </c>
      <c r="K18" s="62">
        <f t="shared" si="2"/>
        <v>2.065086669977417E-2</v>
      </c>
      <c r="L18" s="62">
        <f t="shared" si="3"/>
        <v>9.7673018174607544E-3</v>
      </c>
      <c r="M18" s="63">
        <f t="shared" si="4"/>
        <v>1.4790485609297718E-3</v>
      </c>
      <c r="N18" s="62">
        <f>SUM(I10:I18)/2</f>
        <v>6.280771940718024</v>
      </c>
      <c r="O18" s="62">
        <f>SUM(J10:J18)/2</f>
        <v>17.910913017357739</v>
      </c>
      <c r="P18" s="62">
        <f>SUM(K10:K18)/2</f>
        <v>8.0500403774790855E-2</v>
      </c>
      <c r="Q18" s="62">
        <f>SUM(L10:L18)/2</f>
        <v>3.8074515298887571E-2</v>
      </c>
      <c r="R18" s="63">
        <f>SUM(M10:M18)/2</f>
        <v>5.7655694595458327E-3</v>
      </c>
    </row>
    <row r="19" spans="2:20" ht="13.5">
      <c r="B19" s="47">
        <v>2020</v>
      </c>
      <c r="C19" s="48" t="s">
        <v>289</v>
      </c>
      <c r="D19" s="62">
        <f>'8b. Baseline Emissions_Other'!D30</f>
        <v>484330</v>
      </c>
      <c r="E19" s="49">
        <f>'8b. Baseline Emissions_Other'!E30</f>
        <v>121107</v>
      </c>
      <c r="F19" s="62">
        <f>'8b. Baseline Emissions_Other'!F30</f>
        <v>75934</v>
      </c>
      <c r="G19" s="49">
        <f>'8b. Baseline Emissions_Other'!G30</f>
        <v>43569.847781761935</v>
      </c>
      <c r="H19" s="63">
        <v>2764.4679021365773</v>
      </c>
      <c r="I19" s="61">
        <f t="shared" si="0"/>
        <v>1.3822339510682886</v>
      </c>
      <c r="J19" s="62">
        <f t="shared" si="1"/>
        <v>4.5748340170850037</v>
      </c>
      <c r="K19" s="62">
        <f t="shared" si="2"/>
        <v>2.0561541738329546E-2</v>
      </c>
      <c r="L19" s="62">
        <f t="shared" si="3"/>
        <v>9.7250535248855977E-3</v>
      </c>
      <c r="M19" s="63">
        <f t="shared" si="4"/>
        <v>1.472650962339819E-3</v>
      </c>
      <c r="N19" s="62">
        <f>SUM(I10:I19)/2</f>
        <v>6.9718889162521682</v>
      </c>
      <c r="O19" s="62">
        <f>SUM(J10:J19)/2</f>
        <v>20.198330025900241</v>
      </c>
      <c r="P19" s="62">
        <f>SUM(K10:K19)/2</f>
        <v>9.0781174643955631E-2</v>
      </c>
      <c r="Q19" s="62">
        <f>SUM(L10:L19)/2</f>
        <v>4.2937042061330366E-2</v>
      </c>
      <c r="R19" s="63">
        <f>SUM(M10:M19)/2</f>
        <v>6.5018949407157425E-3</v>
      </c>
      <c r="T19" s="32"/>
    </row>
    <row r="20" spans="2:20" ht="13.5">
      <c r="B20" s="47">
        <v>2020</v>
      </c>
      <c r="C20" s="48" t="s">
        <v>290</v>
      </c>
      <c r="D20" s="49">
        <f>'8b. Baseline Emissions_Other'!D31</f>
        <v>484330</v>
      </c>
      <c r="E20" s="49">
        <f>'8b. Baseline Emissions_Other'!E31</f>
        <v>119188</v>
      </c>
      <c r="F20" s="49">
        <f>'8b. Baseline Emissions_Other'!F31</f>
        <v>92147</v>
      </c>
      <c r="G20" s="49">
        <f>'8b. Baseline Emissions_Other'!G31</f>
        <v>46730.547352879141</v>
      </c>
      <c r="H20" s="60">
        <v>2856.616832207797</v>
      </c>
      <c r="I20" s="61">
        <f t="shared" si="0"/>
        <v>1.4283084161038986</v>
      </c>
      <c r="J20" s="62">
        <f t="shared" si="1"/>
        <v>4.9067074720523101</v>
      </c>
      <c r="K20" s="62">
        <f t="shared" si="2"/>
        <v>2.2053143372546196E-2</v>
      </c>
      <c r="L20" s="62">
        <f t="shared" si="3"/>
        <v>1.043054078431239E-2</v>
      </c>
      <c r="M20" s="63">
        <f t="shared" si="4"/>
        <v>1.5794818901958762E-3</v>
      </c>
      <c r="N20" s="62">
        <f>SUM(I10:I20)/2</f>
        <v>7.6860431243041178</v>
      </c>
      <c r="O20" s="62">
        <f>SUM(J10:J20)/2</f>
        <v>22.651683761926396</v>
      </c>
      <c r="P20" s="62">
        <f>SUM(K10:K20)/2</f>
        <v>0.10180774633022872</v>
      </c>
      <c r="Q20" s="62">
        <f>SUM(L10:L20)/2</f>
        <v>4.8152312453486563E-2</v>
      </c>
      <c r="R20" s="63">
        <f>SUM(M10:M20)/2</f>
        <v>7.2916358858136805E-3</v>
      </c>
    </row>
    <row r="21" spans="2:20" ht="13.5">
      <c r="B21" s="47">
        <v>2020</v>
      </c>
      <c r="C21" s="48" t="s">
        <v>291</v>
      </c>
      <c r="D21" s="49">
        <f>'8b. Baseline Emissions_Other'!D32</f>
        <v>484330</v>
      </c>
      <c r="E21" s="49">
        <f>'8b. Baseline Emissions_Other'!E32</f>
        <v>118181</v>
      </c>
      <c r="F21" s="49">
        <f>'8b. Baseline Emissions_Other'!F32</f>
        <v>90585</v>
      </c>
      <c r="G21" s="49">
        <f>'8b. Baseline Emissions_Other'!G32</f>
        <v>46162.488223300286</v>
      </c>
      <c r="H21" s="60">
        <v>2764.4679021365773</v>
      </c>
      <c r="I21" s="61">
        <f t="shared" si="0"/>
        <v>1.3822339510682886</v>
      </c>
      <c r="J21" s="62">
        <f t="shared" si="1"/>
        <v>4.8470612634465295</v>
      </c>
      <c r="K21" s="62">
        <f t="shared" si="2"/>
        <v>2.1785064136621849E-2</v>
      </c>
      <c r="L21" s="62">
        <f t="shared" si="3"/>
        <v>1.030374655110493E-2</v>
      </c>
      <c r="M21" s="63">
        <f t="shared" si="4"/>
        <v>1.5602816205958893E-3</v>
      </c>
      <c r="N21" s="62">
        <f>SUM(I10:I21)/2</f>
        <v>8.377160099838262</v>
      </c>
      <c r="O21" s="62">
        <f>SUM(J10:J21)/2</f>
        <v>25.075214393649659</v>
      </c>
      <c r="P21" s="62">
        <f>SUM(K10:K21)/2</f>
        <v>0.11270027839853965</v>
      </c>
      <c r="Q21" s="62">
        <f>SUM(L10:L21)/2</f>
        <v>5.3304185729039028E-2</v>
      </c>
      <c r="R21" s="63">
        <f>SUM(M10:M21)/2</f>
        <v>8.0717766961116259E-3</v>
      </c>
    </row>
    <row r="22" spans="2:20" ht="13.5">
      <c r="B22" s="47">
        <v>2020</v>
      </c>
      <c r="C22" s="48" t="s">
        <v>292</v>
      </c>
      <c r="D22" s="49">
        <f>'8b. Baseline Emissions_Other'!D33</f>
        <v>484330</v>
      </c>
      <c r="E22" s="49">
        <f>'8b. Baseline Emissions_Other'!E33</f>
        <v>123515</v>
      </c>
      <c r="F22" s="49">
        <f>'8b. Baseline Emissions_Other'!F33</f>
        <v>95285</v>
      </c>
      <c r="G22" s="49">
        <f>'8b. Baseline Emissions_Other'!G33</f>
        <v>48381.213527385218</v>
      </c>
      <c r="H22" s="60">
        <v>2856.616832207797</v>
      </c>
      <c r="I22" s="61">
        <f t="shared" si="0"/>
        <v>1.4283084161038986</v>
      </c>
      <c r="J22" s="62">
        <f t="shared" si="1"/>
        <v>5.0800274203754476</v>
      </c>
      <c r="K22" s="62">
        <f t="shared" si="2"/>
        <v>2.2832127995424834E-2</v>
      </c>
      <c r="L22" s="62">
        <f t="shared" si="3"/>
        <v>1.0798979457295528E-2</v>
      </c>
      <c r="M22" s="63">
        <f t="shared" si="4"/>
        <v>1.6352740321047517E-3</v>
      </c>
      <c r="N22" s="62">
        <f>SUM(I10:I22)/2</f>
        <v>9.0913143078902117</v>
      </c>
      <c r="O22" s="62">
        <f>SUM(J10:J22)/2</f>
        <v>27.615228103837381</v>
      </c>
      <c r="P22" s="62">
        <f>SUM(K10:K22)/2</f>
        <v>0.12411634239625206</v>
      </c>
      <c r="Q22" s="62">
        <f>SUM(L10:L22)/2</f>
        <v>5.8703675457686788E-2</v>
      </c>
      <c r="R22" s="63">
        <f>SUM(M10:M22)/2</f>
        <v>8.8894137121640019E-3</v>
      </c>
    </row>
    <row r="23" spans="2:20" ht="13.5">
      <c r="B23" s="47">
        <v>2021</v>
      </c>
      <c r="C23" s="48" t="s">
        <v>281</v>
      </c>
      <c r="D23" s="49">
        <f>'8b. Baseline Emissions_Other'!D34</f>
        <v>480449</v>
      </c>
      <c r="E23" s="49">
        <f>'8b. Baseline Emissions_Other'!E34</f>
        <v>118021</v>
      </c>
      <c r="F23" s="49">
        <f>'8b. Baseline Emissions_Other'!F34</f>
        <v>92880</v>
      </c>
      <c r="G23" s="49">
        <f>'8b. Baseline Emissions_Other'!G34</f>
        <v>44072.443211162601</v>
      </c>
      <c r="H23" s="60">
        <v>2969.1590260679354</v>
      </c>
      <c r="I23" s="61">
        <f t="shared" si="0"/>
        <v>1.4845795130339676</v>
      </c>
      <c r="J23" s="62">
        <f t="shared" si="1"/>
        <v>4.6276065371720732</v>
      </c>
      <c r="K23" s="62">
        <f t="shared" si="2"/>
        <v>2.0798727255958122E-2</v>
      </c>
      <c r="L23" s="62">
        <f t="shared" si="3"/>
        <v>9.8372358643045183E-3</v>
      </c>
      <c r="M23" s="63">
        <f t="shared" si="4"/>
        <v>1.4896385737375414E-3</v>
      </c>
      <c r="N23" s="62">
        <f>SUM(I10:I23)/2</f>
        <v>9.8336040644071954</v>
      </c>
      <c r="O23" s="62">
        <f>SUM(J10:J23)/2</f>
        <v>29.929031372423417</v>
      </c>
      <c r="P23" s="62">
        <f>SUM(K10:K23)/2</f>
        <v>0.13451570602423113</v>
      </c>
      <c r="Q23" s="62">
        <f>SUM(L10:L23)/2</f>
        <v>6.3622293389839046E-2</v>
      </c>
      <c r="R23" s="63">
        <f>SUM(M10:M23)/2</f>
        <v>9.6342329990327727E-3</v>
      </c>
    </row>
    <row r="24" spans="2:20" ht="13.5">
      <c r="B24" s="47">
        <v>2021</v>
      </c>
      <c r="C24" s="48" t="s">
        <v>282</v>
      </c>
      <c r="D24" s="49">
        <f>'8b. Baseline Emissions_Other'!D35</f>
        <v>480449</v>
      </c>
      <c r="E24" s="49">
        <f>'8b. Baseline Emissions_Other'!E35</f>
        <v>102058</v>
      </c>
      <c r="F24" s="49">
        <f>'8b. Baseline Emissions_Other'!F35</f>
        <v>89264</v>
      </c>
      <c r="G24" s="49">
        <f>'8b. Baseline Emissions_Other'!G35</f>
        <v>39980.976761826882</v>
      </c>
      <c r="H24" s="60">
        <v>2861.9010911234959</v>
      </c>
      <c r="I24" s="61">
        <f t="shared" si="0"/>
        <v>1.4309505455617479</v>
      </c>
      <c r="J24" s="62">
        <f t="shared" si="1"/>
        <v>4.1980025599918225</v>
      </c>
      <c r="K24" s="62">
        <f t="shared" si="2"/>
        <v>1.8867876852477795E-2</v>
      </c>
      <c r="L24" s="62">
        <f t="shared" si="3"/>
        <v>8.9239958086043628E-3</v>
      </c>
      <c r="M24" s="63">
        <f t="shared" si="4"/>
        <v>1.351347936731518E-3</v>
      </c>
      <c r="N24" s="62">
        <f>SUM(I10:I24)/2</f>
        <v>10.549079337188068</v>
      </c>
      <c r="O24" s="62">
        <f>SUM(J10:J24)/2</f>
        <v>32.028032652419327</v>
      </c>
      <c r="P24" s="62">
        <f>SUM(K10:K24)/2</f>
        <v>0.14394964445047004</v>
      </c>
      <c r="Q24" s="62">
        <f>SUM(L10:L24)/2</f>
        <v>6.808429129414123E-2</v>
      </c>
      <c r="R24" s="63">
        <f>SUM(M10:M24)/2</f>
        <v>1.0309906967398532E-2</v>
      </c>
    </row>
    <row r="25" spans="2:20" ht="13.5">
      <c r="B25" s="47">
        <v>2021</v>
      </c>
      <c r="C25" s="48" t="s">
        <v>283</v>
      </c>
      <c r="D25" s="49">
        <f>'8b. Baseline Emissions_Other'!D36</f>
        <v>480449</v>
      </c>
      <c r="E25" s="49">
        <f>'8b. Baseline Emissions_Other'!E36</f>
        <v>118515</v>
      </c>
      <c r="F25" s="49">
        <f>'8b. Baseline Emissions_Other'!F36</f>
        <v>90789</v>
      </c>
      <c r="G25" s="49">
        <f>'8b. Baseline Emissions_Other'!G36</f>
        <v>43738.714628518486</v>
      </c>
      <c r="H25" s="60">
        <v>3383.4219029679089</v>
      </c>
      <c r="I25" s="61">
        <f t="shared" si="0"/>
        <v>1.6917109514839543</v>
      </c>
      <c r="J25" s="62">
        <f t="shared" si="1"/>
        <v>4.5925650359944408</v>
      </c>
      <c r="K25" s="62">
        <f t="shared" si="2"/>
        <v>2.0641233609992645E-2</v>
      </c>
      <c r="L25" s="62">
        <f t="shared" si="3"/>
        <v>9.7627456263478726E-3</v>
      </c>
      <c r="M25" s="63">
        <f t="shared" si="4"/>
        <v>1.4783586234183924E-3</v>
      </c>
      <c r="N25" s="62">
        <f>SUM(I10:I25)/2</f>
        <v>11.394934812930046</v>
      </c>
      <c r="O25" s="62">
        <f>SUM(J10:J25)/2</f>
        <v>34.324315170416547</v>
      </c>
      <c r="P25" s="62">
        <f>SUM(K10:K25)/2</f>
        <v>0.15427026125546636</v>
      </c>
      <c r="Q25" s="62">
        <f>SUM(L10:L25)/2</f>
        <v>7.296566410731517E-2</v>
      </c>
      <c r="R25" s="63">
        <f>SUM(M10:M25)/2</f>
        <v>1.1049086279107728E-2</v>
      </c>
    </row>
    <row r="26" spans="2:20" ht="13.5">
      <c r="B26" s="47">
        <v>2021</v>
      </c>
      <c r="C26" s="48" t="s">
        <v>284</v>
      </c>
      <c r="D26" s="49">
        <f>'8b. Baseline Emissions_Other'!D37</f>
        <v>480449</v>
      </c>
      <c r="E26" s="49">
        <f>'8b. Baseline Emissions_Other'!E37</f>
        <v>92525</v>
      </c>
      <c r="F26" s="49">
        <f>'8b. Baseline Emissions_Other'!F37</f>
        <v>103068</v>
      </c>
      <c r="G26" s="49">
        <f>'8b. Baseline Emissions_Other'!G37</f>
        <v>40873.496972517569</v>
      </c>
      <c r="H26" s="60">
        <v>3729.4839386766644</v>
      </c>
      <c r="I26" s="61">
        <f t="shared" si="0"/>
        <v>1.8647419693383323</v>
      </c>
      <c r="J26" s="62">
        <f t="shared" si="1"/>
        <v>4.2917171821143452</v>
      </c>
      <c r="K26" s="62">
        <f t="shared" si="2"/>
        <v>1.9289076202458108E-2</v>
      </c>
      <c r="L26" s="62">
        <f t="shared" si="3"/>
        <v>9.1232117173788343E-3</v>
      </c>
      <c r="M26" s="63">
        <f t="shared" si="4"/>
        <v>1.381514917203081E-3</v>
      </c>
      <c r="N26" s="62">
        <f>SUM(I10:I26)/2</f>
        <v>12.327305797599212</v>
      </c>
      <c r="O26" s="62">
        <f>SUM(J10:J26)/2</f>
        <v>36.470173761473717</v>
      </c>
      <c r="P26" s="62">
        <f>SUM(K10:K26)/2</f>
        <v>0.16391479935669542</v>
      </c>
      <c r="Q26" s="62">
        <f>SUM(L10:L26)/2</f>
        <v>7.7527269966004592E-2</v>
      </c>
      <c r="R26" s="63">
        <f>SUM(M10:M26)/2</f>
        <v>1.1739843737709268E-2</v>
      </c>
    </row>
    <row r="27" spans="2:20" ht="13.5">
      <c r="B27" s="47">
        <v>2021</v>
      </c>
      <c r="C27" s="48" t="s">
        <v>285</v>
      </c>
      <c r="D27" s="49">
        <f>'8b. Baseline Emissions_Other'!D38</f>
        <v>480449</v>
      </c>
      <c r="E27" s="49">
        <f>'8b. Baseline Emissions_Other'!E38</f>
        <v>31949</v>
      </c>
      <c r="F27" s="49">
        <f>'8b. Baseline Emissions_Other'!F38</f>
        <v>110058</v>
      </c>
      <c r="G27" s="49">
        <f>'8b. Baseline Emissions_Other'!G38</f>
        <v>29675.513359763907</v>
      </c>
      <c r="H27" s="60">
        <v>2359.7469756036085</v>
      </c>
      <c r="I27" s="61">
        <f t="shared" si="0"/>
        <v>1.1798734878018042</v>
      </c>
      <c r="J27" s="62">
        <f t="shared" si="1"/>
        <v>3.1159289027752104</v>
      </c>
      <c r="K27" s="62">
        <f t="shared" si="2"/>
        <v>1.4004508567701647E-2</v>
      </c>
      <c r="L27" s="62">
        <f t="shared" si="3"/>
        <v>6.6237540522913196E-3</v>
      </c>
      <c r="M27" s="63">
        <f t="shared" si="4"/>
        <v>1.0030256136326855E-3</v>
      </c>
      <c r="N27" s="62">
        <f>SUM(I10:I27)/2</f>
        <v>12.917242541500114</v>
      </c>
      <c r="O27" s="62">
        <f>SUM(J10:J27)/2</f>
        <v>38.028138212861322</v>
      </c>
      <c r="P27" s="62">
        <f>SUM(K10:K27)/2</f>
        <v>0.17091705364054624</v>
      </c>
      <c r="Q27" s="62">
        <f>SUM(L10:L27)/2</f>
        <v>8.0839146992150251E-2</v>
      </c>
      <c r="R27" s="63">
        <f>SUM(M10:M27)/2</f>
        <v>1.224135654452561E-2</v>
      </c>
    </row>
    <row r="28" spans="2:20" ht="13.5">
      <c r="B28" s="47">
        <v>2021</v>
      </c>
      <c r="C28" s="48" t="s">
        <v>286</v>
      </c>
      <c r="D28" s="49">
        <f>'8b. Baseline Emissions_Other'!D39</f>
        <v>480449</v>
      </c>
      <c r="E28" s="49">
        <f>'8b. Baseline Emissions_Other'!E39</f>
        <v>96624</v>
      </c>
      <c r="F28" s="49">
        <f>'8b. Baseline Emissions_Other'!F39</f>
        <v>93857</v>
      </c>
      <c r="G28" s="49">
        <f>'8b. Baseline Emissions_Other'!G39</f>
        <v>39805.231152557193</v>
      </c>
      <c r="H28" s="60">
        <v>1528.6891125085381</v>
      </c>
      <c r="I28" s="61">
        <f t="shared" si="0"/>
        <v>0.764344556254269</v>
      </c>
      <c r="J28" s="62">
        <f t="shared" si="1"/>
        <v>4.1795492710185052</v>
      </c>
      <c r="K28" s="62">
        <f t="shared" si="2"/>
        <v>1.87849387458673E-2</v>
      </c>
      <c r="L28" s="62">
        <f t="shared" si="3"/>
        <v>8.8847683257480478E-3</v>
      </c>
      <c r="M28" s="63">
        <f t="shared" si="4"/>
        <v>1.3454077750418474E-3</v>
      </c>
      <c r="N28" s="62">
        <f>SUM(I10:I28)/2</f>
        <v>13.299414819627248</v>
      </c>
      <c r="O28" s="62">
        <f>SUM(J10:J28)/2</f>
        <v>40.117912848370572</v>
      </c>
      <c r="P28" s="62">
        <f>SUM(K10:K28)/2</f>
        <v>0.18030952301347988</v>
      </c>
      <c r="Q28" s="62">
        <f>SUM(L10:L28)/2</f>
        <v>8.5281531155024279E-2</v>
      </c>
      <c r="R28" s="63">
        <f>SUM(M10:M28)/2</f>
        <v>1.2914060432046534E-2</v>
      </c>
    </row>
    <row r="29" spans="2:20" ht="13.5">
      <c r="B29" s="47">
        <v>2021</v>
      </c>
      <c r="C29" s="48" t="s">
        <v>287</v>
      </c>
      <c r="D29" s="49">
        <f>'8b. Baseline Emissions_Other'!D40</f>
        <v>480449</v>
      </c>
      <c r="E29" s="49">
        <f>'8b. Baseline Emissions_Other'!E40</f>
        <v>119732</v>
      </c>
      <c r="F29" s="49">
        <f>'8b. Baseline Emissions_Other'!F40</f>
        <v>97467</v>
      </c>
      <c r="G29" s="49">
        <f>'8b. Baseline Emissions_Other'!G40</f>
        <v>45388.550044908778</v>
      </c>
      <c r="H29" s="60">
        <v>2254.5143021727631</v>
      </c>
      <c r="I29" s="61">
        <f t="shared" si="0"/>
        <v>1.1272571510863816</v>
      </c>
      <c r="J29" s="62">
        <f t="shared" si="1"/>
        <v>4.7657977547154218</v>
      </c>
      <c r="K29" s="62">
        <f t="shared" si="2"/>
        <v>2.1419826180373011E-2</v>
      </c>
      <c r="L29" s="62">
        <f t="shared" si="3"/>
        <v>1.0130998869095343E-2</v>
      </c>
      <c r="M29" s="63">
        <f t="shared" si="4"/>
        <v>1.5341226858915807E-3</v>
      </c>
      <c r="N29" s="62">
        <f>SUM(I10:I29)/2</f>
        <v>13.86304339517044</v>
      </c>
      <c r="O29" s="62">
        <f>SUM(J10:J29)/2</f>
        <v>42.500811725728283</v>
      </c>
      <c r="P29" s="62">
        <f>SUM(K10:K29)/2</f>
        <v>0.1910194361036664</v>
      </c>
      <c r="Q29" s="62">
        <f>SUM(L10:L29)/2</f>
        <v>9.0347030589571956E-2</v>
      </c>
      <c r="R29" s="63">
        <f>SUM(M10:M29)/2</f>
        <v>1.3681121774992325E-2</v>
      </c>
    </row>
    <row r="30" spans="2:20" ht="13.5">
      <c r="B30" s="47">
        <v>2021</v>
      </c>
      <c r="C30" s="48" t="s">
        <v>288</v>
      </c>
      <c r="D30" s="49">
        <f>'8b. Baseline Emissions_Other'!D41</f>
        <v>480449</v>
      </c>
      <c r="E30" s="49">
        <f>'8b. Baseline Emissions_Other'!E41</f>
        <v>118243</v>
      </c>
      <c r="F30" s="49">
        <f>'8b. Baseline Emissions_Other'!F41</f>
        <v>94780</v>
      </c>
      <c r="G30" s="49">
        <f>'8b. Baseline Emissions_Other'!G41</f>
        <v>44515.882191983401</v>
      </c>
      <c r="H30" s="60">
        <v>2779.9373247433455</v>
      </c>
      <c r="I30" s="61">
        <f t="shared" si="0"/>
        <v>1.3899686623716727</v>
      </c>
      <c r="J30" s="62">
        <f t="shared" si="1"/>
        <v>4.6741676301582569</v>
      </c>
      <c r="K30" s="62">
        <f t="shared" si="2"/>
        <v>2.1007995582031223E-2</v>
      </c>
      <c r="L30" s="62">
        <f t="shared" si="3"/>
        <v>9.9362141266363894E-3</v>
      </c>
      <c r="M30" s="63">
        <f t="shared" si="4"/>
        <v>1.5046267106049391E-3</v>
      </c>
      <c r="N30" s="62">
        <f>SUM(I10:I30)/2</f>
        <v>14.558027726356276</v>
      </c>
      <c r="O30" s="62">
        <f>SUM(J10:J30)/2</f>
        <v>44.837895540807409</v>
      </c>
      <c r="P30" s="62">
        <f>SUM(K10:K30)/2</f>
        <v>0.201523433894682</v>
      </c>
      <c r="Q30" s="62">
        <f>SUM(L10:L30)/2</f>
        <v>9.5315137652890153E-2</v>
      </c>
      <c r="R30" s="63">
        <f>SUM(M10:M30)/2</f>
        <v>1.4433435130294794E-2</v>
      </c>
    </row>
    <row r="31" spans="2:20" ht="13.5">
      <c r="B31" s="47">
        <v>2021</v>
      </c>
      <c r="C31" s="48" t="s">
        <v>289</v>
      </c>
      <c r="D31" s="49">
        <f>'8b. Baseline Emissions_Other'!D42</f>
        <v>480449</v>
      </c>
      <c r="E31" s="49">
        <f>'8b. Baseline Emissions_Other'!E42</f>
        <v>121107</v>
      </c>
      <c r="F31" s="49">
        <f>'8b. Baseline Emissions_Other'!F42</f>
        <v>85016</v>
      </c>
      <c r="G31" s="49">
        <f>'8b. Baseline Emissions_Other'!G42</f>
        <v>43073.974101661297</v>
      </c>
      <c r="H31" s="60">
        <v>2690.2619271709791</v>
      </c>
      <c r="I31" s="61">
        <f t="shared" si="0"/>
        <v>1.3451309635854896</v>
      </c>
      <c r="J31" s="62">
        <f t="shared" si="1"/>
        <v>4.5227672806744357</v>
      </c>
      <c r="K31" s="62">
        <f t="shared" si="2"/>
        <v>2.0327528357759594E-2</v>
      </c>
      <c r="L31" s="62">
        <f t="shared" si="3"/>
        <v>9.6143715205619703E-3</v>
      </c>
      <c r="M31" s="63">
        <f t="shared" si="4"/>
        <v>1.4558905445422414E-3</v>
      </c>
      <c r="N31" s="62">
        <f>SUM(I10:I31)/2</f>
        <v>15.230593208149021</v>
      </c>
      <c r="O31" s="62">
        <f>SUM(J10:J31)/2</f>
        <v>47.099279181144624</v>
      </c>
      <c r="P31" s="62">
        <f>SUM(K10:K31)/2</f>
        <v>0.21168719807356179</v>
      </c>
      <c r="Q31" s="62">
        <f>SUM(L10:L31)/2</f>
        <v>0.10012232341317114</v>
      </c>
      <c r="R31" s="63">
        <f>SUM(M10:M31)/2</f>
        <v>1.5161380402565915E-2</v>
      </c>
    </row>
    <row r="32" spans="2:20" ht="13.5">
      <c r="B32" s="47">
        <v>2021</v>
      </c>
      <c r="C32" s="48" t="s">
        <v>290</v>
      </c>
      <c r="D32" s="49">
        <f>'8b. Baseline Emissions_Other'!D43</f>
        <v>480449</v>
      </c>
      <c r="E32" s="49">
        <f>'8b. Baseline Emissions_Other'!E43</f>
        <v>102534</v>
      </c>
      <c r="F32" s="49">
        <f>'8b. Baseline Emissions_Other'!F43</f>
        <v>83037</v>
      </c>
      <c r="G32" s="49">
        <f>'8b. Baseline Emissions_Other'!G43</f>
        <v>38779.177714371464</v>
      </c>
      <c r="H32" s="60">
        <v>2779.9373247433455</v>
      </c>
      <c r="I32" s="61">
        <f t="shared" si="0"/>
        <v>1.3899686623716727</v>
      </c>
      <c r="J32" s="62">
        <f t="shared" si="1"/>
        <v>4.0718136600090036</v>
      </c>
      <c r="K32" s="62">
        <f t="shared" si="2"/>
        <v>1.8300722213813143E-2</v>
      </c>
      <c r="L32" s="62">
        <f t="shared" si="3"/>
        <v>8.6557469930197296E-3</v>
      </c>
      <c r="M32" s="63">
        <f t="shared" si="4"/>
        <v>1.3107274018001305E-3</v>
      </c>
      <c r="N32" s="62">
        <f>SUM(I10:I32)/2</f>
        <v>15.925577539334856</v>
      </c>
      <c r="O32" s="62">
        <f>SUM(J10:J32)/2</f>
        <v>49.135186011149123</v>
      </c>
      <c r="P32" s="62">
        <f>SUM(K10:K32)/2</f>
        <v>0.22083755918046835</v>
      </c>
      <c r="Q32" s="62">
        <f>SUM(L10:L32)/2</f>
        <v>0.10445019690968101</v>
      </c>
      <c r="R32" s="63">
        <f>SUM(M10:M32)/2</f>
        <v>1.5816744103465979E-2</v>
      </c>
    </row>
    <row r="33" spans="2:18" ht="13.5">
      <c r="B33" s="47">
        <v>2021</v>
      </c>
      <c r="C33" s="48" t="s">
        <v>291</v>
      </c>
      <c r="D33" s="49">
        <f>'8b. Baseline Emissions_Other'!D44</f>
        <v>480449</v>
      </c>
      <c r="E33" s="49">
        <f>'8b. Baseline Emissions_Other'!E44</f>
        <v>97991</v>
      </c>
      <c r="F33" s="49">
        <f>'8b. Baseline Emissions_Other'!F44</f>
        <v>86551</v>
      </c>
      <c r="G33" s="49">
        <f>'8b. Baseline Emissions_Other'!G44</f>
        <v>38564.145333945169</v>
      </c>
      <c r="H33" s="60">
        <v>2690.2619271709791</v>
      </c>
      <c r="I33" s="61">
        <f t="shared" si="0"/>
        <v>1.3451309635854896</v>
      </c>
      <c r="J33" s="62">
        <f t="shared" si="1"/>
        <v>4.0492352600642425</v>
      </c>
      <c r="K33" s="62">
        <f t="shared" si="2"/>
        <v>1.8199243840802196E-2</v>
      </c>
      <c r="L33" s="62">
        <f t="shared" si="3"/>
        <v>8.6077504652442832E-3</v>
      </c>
      <c r="M33" s="63">
        <f t="shared" si="4"/>
        <v>1.3034593561655631E-3</v>
      </c>
      <c r="N33" s="62">
        <f t="shared" ref="N33:R33" si="5">SUM(I10:I33)/2</f>
        <v>16.598143021127601</v>
      </c>
      <c r="O33" s="62">
        <f t="shared" si="5"/>
        <v>51.159803641181242</v>
      </c>
      <c r="P33" s="62">
        <f t="shared" si="5"/>
        <v>0.22993718110086944</v>
      </c>
      <c r="Q33" s="62">
        <f t="shared" si="5"/>
        <v>0.10875407214230315</v>
      </c>
      <c r="R33" s="63">
        <f t="shared" si="5"/>
        <v>1.6468473781548761E-2</v>
      </c>
    </row>
    <row r="34" spans="2:18" ht="6" customHeight="1" thickBot="1">
      <c r="B34" s="52"/>
      <c r="C34" s="53"/>
      <c r="D34" s="54"/>
      <c r="E34" s="54"/>
      <c r="F34" s="54"/>
      <c r="G34" s="54"/>
      <c r="H34" s="64"/>
      <c r="I34" s="65"/>
      <c r="J34" s="66"/>
      <c r="K34" s="66"/>
      <c r="L34" s="66"/>
      <c r="M34" s="67"/>
      <c r="N34" s="66"/>
      <c r="O34" s="66"/>
      <c r="P34" s="66"/>
      <c r="Q34" s="66"/>
      <c r="R34" s="67"/>
    </row>
    <row r="35" spans="2:18" ht="13.5" thickBot="1"/>
    <row r="36" spans="2:18" ht="13.5">
      <c r="B36" s="46" t="s">
        <v>128</v>
      </c>
      <c r="C36" s="323" t="s">
        <v>293</v>
      </c>
      <c r="D36" s="477" t="s">
        <v>294</v>
      </c>
      <c r="E36" s="478"/>
      <c r="F36" s="478"/>
      <c r="G36" s="479"/>
    </row>
    <row r="37" spans="2:18" ht="86.25" customHeight="1">
      <c r="B37" s="47" t="s">
        <v>295</v>
      </c>
      <c r="C37" s="363">
        <v>0.21</v>
      </c>
      <c r="D37" s="468" t="s">
        <v>296</v>
      </c>
      <c r="E37" s="469"/>
      <c r="F37" s="469"/>
      <c r="G37" s="470"/>
    </row>
    <row r="38" spans="2:18" ht="13.5" customHeight="1">
      <c r="B38" s="47" t="s">
        <v>56</v>
      </c>
      <c r="C38" s="70">
        <v>9.4384271624361647E-4</v>
      </c>
      <c r="D38" s="471" t="s">
        <v>297</v>
      </c>
      <c r="E38" s="472"/>
      <c r="F38" s="472"/>
      <c r="G38" s="473"/>
    </row>
    <row r="39" spans="2:18" ht="15">
      <c r="B39" s="47" t="s">
        <v>298</v>
      </c>
      <c r="C39" s="71">
        <v>4.4641209552062942E-4</v>
      </c>
      <c r="D39" s="471"/>
      <c r="E39" s="472"/>
      <c r="F39" s="472"/>
      <c r="G39" s="473"/>
    </row>
    <row r="40" spans="2:18" ht="15.75" thickBot="1">
      <c r="B40" s="52" t="s">
        <v>299</v>
      </c>
      <c r="C40" s="72">
        <v>6.7599545893123891E-5</v>
      </c>
      <c r="D40" s="474"/>
      <c r="E40" s="475"/>
      <c r="F40" s="475"/>
      <c r="G40" s="476"/>
    </row>
    <row r="54" ht="27" customHeight="1"/>
  </sheetData>
  <mergeCells count="5">
    <mergeCell ref="I8:M8"/>
    <mergeCell ref="N8:R8"/>
    <mergeCell ref="D37:G37"/>
    <mergeCell ref="D38:G40"/>
    <mergeCell ref="D36:G36"/>
  </mergeCells>
  <pageMargins left="0.7" right="0.7" top="0.75" bottom="0.75" header="0.3" footer="0.3"/>
  <pageSetup scale="69" fitToHeight="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169EB-8EEB-4822-B7A0-65DDC15DB99D}">
  <sheetPr>
    <tabColor rgb="FF92D050"/>
    <pageSetUpPr fitToPage="1"/>
  </sheetPr>
  <dimension ref="B3:AG56"/>
  <sheetViews>
    <sheetView topLeftCell="A4" zoomScale="150" zoomScaleNormal="150" zoomScaleSheetLayoutView="140" workbookViewId="0">
      <selection activeCell="U44" sqref="U44"/>
    </sheetView>
  </sheetViews>
  <sheetFormatPr defaultColWidth="8.85546875" defaultRowHeight="12.75"/>
  <cols>
    <col min="1" max="1" width="2.7109375" style="2" customWidth="1"/>
    <col min="2" max="2" width="16.5703125" style="2" bestFit="1" customWidth="1"/>
    <col min="3" max="3" width="19.85546875" style="2" bestFit="1" customWidth="1"/>
    <col min="4" max="4" width="16.42578125" style="2" customWidth="1"/>
    <col min="5" max="5" width="10.7109375" style="2" customWidth="1"/>
    <col min="6" max="6" width="11.7109375" style="2" customWidth="1"/>
    <col min="7" max="7" width="11" style="2" customWidth="1"/>
    <col min="8" max="24" width="8.85546875" style="2"/>
    <col min="25" max="25" width="11.42578125" style="2" customWidth="1"/>
    <col min="26" max="32" width="8.85546875" style="2" customWidth="1"/>
    <col min="33" max="33" width="8.85546875" style="3" customWidth="1"/>
    <col min="34" max="16384" width="8.85546875" style="2"/>
  </cols>
  <sheetData>
    <row r="3" spans="2:26">
      <c r="B3" s="6" t="s">
        <v>0</v>
      </c>
      <c r="C3" s="7" t="str">
        <f>'1. Step 1 Evaluation'!C2</f>
        <v>U. S. Steel</v>
      </c>
    </row>
    <row r="4" spans="2:26">
      <c r="B4" s="6" t="s">
        <v>2</v>
      </c>
      <c r="C4" s="7" t="str">
        <f>'1. Step 1 Evaluation'!C3</f>
        <v>Edgar Thomson Plant</v>
      </c>
    </row>
    <row r="5" spans="2:26">
      <c r="B5" s="6" t="s">
        <v>4</v>
      </c>
      <c r="C5" s="7" t="str">
        <f>'1. Step 1 Evaluation'!C4</f>
        <v>Slag Recycler Project</v>
      </c>
    </row>
    <row r="6" spans="2:26">
      <c r="Z6" s="34"/>
    </row>
    <row r="7" spans="2:26" ht="13.5" thickBot="1">
      <c r="B7" s="38" t="s">
        <v>300</v>
      </c>
    </row>
    <row r="8" spans="2:26" ht="13.5" thickBot="1">
      <c r="H8" s="465" t="s">
        <v>271</v>
      </c>
      <c r="I8" s="466"/>
      <c r="J8" s="466"/>
      <c r="K8" s="466"/>
      <c r="L8" s="466"/>
      <c r="M8" s="466"/>
      <c r="N8" s="466"/>
      <c r="O8" s="467"/>
      <c r="P8" s="465" t="s">
        <v>272</v>
      </c>
      <c r="Q8" s="466"/>
      <c r="R8" s="466"/>
      <c r="S8" s="466"/>
      <c r="T8" s="466"/>
      <c r="U8" s="466"/>
      <c r="V8" s="466"/>
      <c r="W8" s="467"/>
    </row>
    <row r="9" spans="2:26" ht="72" customHeight="1">
      <c r="B9" s="39" t="s">
        <v>273</v>
      </c>
      <c r="C9" s="57" t="s">
        <v>274</v>
      </c>
      <c r="D9" s="58" t="s">
        <v>275</v>
      </c>
      <c r="E9" s="58" t="s">
        <v>276</v>
      </c>
      <c r="F9" s="58" t="s">
        <v>277</v>
      </c>
      <c r="G9" s="58" t="s">
        <v>303</v>
      </c>
      <c r="H9" s="58" t="s">
        <v>42</v>
      </c>
      <c r="I9" s="58" t="s">
        <v>43</v>
      </c>
      <c r="J9" s="58" t="s">
        <v>21</v>
      </c>
      <c r="K9" s="58" t="s">
        <v>22</v>
      </c>
      <c r="L9" s="58" t="s">
        <v>24</v>
      </c>
      <c r="M9" s="58" t="s">
        <v>56</v>
      </c>
      <c r="N9" s="58" t="s">
        <v>40</v>
      </c>
      <c r="O9" s="59" t="s">
        <v>41</v>
      </c>
      <c r="P9" s="58" t="s">
        <v>42</v>
      </c>
      <c r="Q9" s="58" t="s">
        <v>43</v>
      </c>
      <c r="R9" s="58" t="s">
        <v>21</v>
      </c>
      <c r="S9" s="58" t="s">
        <v>22</v>
      </c>
      <c r="T9" s="58" t="s">
        <v>24</v>
      </c>
      <c r="U9" s="58" t="s">
        <v>56</v>
      </c>
      <c r="V9" s="58" t="s">
        <v>40</v>
      </c>
      <c r="W9" s="59" t="s">
        <v>41</v>
      </c>
    </row>
    <row r="10" spans="2:26" ht="13.5">
      <c r="B10" s="47">
        <v>2019</v>
      </c>
      <c r="C10" s="48" t="s">
        <v>281</v>
      </c>
      <c r="D10" s="49">
        <f t="shared" ref="D10:D45" si="0">VLOOKUP(B10,$Z$23:$AB$25,3,)+VLOOKUP(B10,$AD$23:$AF$25,3,)</f>
        <v>436112</v>
      </c>
      <c r="E10" s="49">
        <v>96991</v>
      </c>
      <c r="F10" s="49">
        <v>81107</v>
      </c>
      <c r="G10" s="49">
        <f>D10*SUM(E10:F10)/SUM($E$10:$F$21)</f>
        <v>38289.916768589821</v>
      </c>
      <c r="H10" s="62" t="s">
        <v>52</v>
      </c>
      <c r="I10" s="62" t="s">
        <v>52</v>
      </c>
      <c r="J10" s="62" t="s">
        <v>52</v>
      </c>
      <c r="K10" s="62" t="s">
        <v>52</v>
      </c>
      <c r="L10" s="62" t="s">
        <v>52</v>
      </c>
      <c r="M10" s="62" t="s">
        <v>52</v>
      </c>
      <c r="N10" s="62" t="s">
        <v>52</v>
      </c>
      <c r="O10" s="63" t="s">
        <v>52</v>
      </c>
      <c r="P10" s="62" t="s">
        <v>52</v>
      </c>
      <c r="Q10" s="62" t="s">
        <v>52</v>
      </c>
      <c r="R10" s="62" t="s">
        <v>52</v>
      </c>
      <c r="S10" s="62" t="s">
        <v>52</v>
      </c>
      <c r="T10" s="62" t="s">
        <v>52</v>
      </c>
      <c r="U10" s="62" t="s">
        <v>52</v>
      </c>
      <c r="V10" s="62" t="s">
        <v>52</v>
      </c>
      <c r="W10" s="63" t="s">
        <v>52</v>
      </c>
    </row>
    <row r="11" spans="2:26" ht="13.5">
      <c r="B11" s="47">
        <v>2019</v>
      </c>
      <c r="C11" s="48" t="s">
        <v>282</v>
      </c>
      <c r="D11" s="49">
        <f t="shared" si="0"/>
        <v>436112</v>
      </c>
      <c r="E11" s="49">
        <v>87757</v>
      </c>
      <c r="F11" s="49">
        <v>80002</v>
      </c>
      <c r="G11" s="49">
        <f t="shared" ref="G11:G21" si="1">D11*SUM(E11:F11)/SUM($E$10:$F$21)</f>
        <v>36067.09871633516</v>
      </c>
      <c r="H11" s="62" t="s">
        <v>52</v>
      </c>
      <c r="I11" s="62" t="s">
        <v>52</v>
      </c>
      <c r="J11" s="62" t="s">
        <v>52</v>
      </c>
      <c r="K11" s="62" t="s">
        <v>52</v>
      </c>
      <c r="L11" s="62" t="s">
        <v>52</v>
      </c>
      <c r="M11" s="62" t="s">
        <v>52</v>
      </c>
      <c r="N11" s="62" t="s">
        <v>52</v>
      </c>
      <c r="O11" s="63" t="s">
        <v>52</v>
      </c>
      <c r="P11" s="62" t="s">
        <v>52</v>
      </c>
      <c r="Q11" s="62" t="s">
        <v>52</v>
      </c>
      <c r="R11" s="62" t="s">
        <v>52</v>
      </c>
      <c r="S11" s="62" t="s">
        <v>52</v>
      </c>
      <c r="T11" s="62" t="s">
        <v>52</v>
      </c>
      <c r="U11" s="62" t="s">
        <v>52</v>
      </c>
      <c r="V11" s="62" t="s">
        <v>52</v>
      </c>
      <c r="W11" s="63" t="s">
        <v>52</v>
      </c>
    </row>
    <row r="12" spans="2:26" ht="13.5">
      <c r="B12" s="47">
        <v>2019</v>
      </c>
      <c r="C12" s="48" t="s">
        <v>283</v>
      </c>
      <c r="D12" s="49">
        <f t="shared" si="0"/>
        <v>436112</v>
      </c>
      <c r="E12" s="49">
        <v>114630</v>
      </c>
      <c r="F12" s="49">
        <v>57225</v>
      </c>
      <c r="G12" s="49">
        <f t="shared" si="1"/>
        <v>36947.712193657448</v>
      </c>
      <c r="H12" s="62" t="s">
        <v>52</v>
      </c>
      <c r="I12" s="62" t="s">
        <v>52</v>
      </c>
      <c r="J12" s="62" t="s">
        <v>52</v>
      </c>
      <c r="K12" s="62" t="s">
        <v>52</v>
      </c>
      <c r="L12" s="62" t="s">
        <v>52</v>
      </c>
      <c r="M12" s="62" t="s">
        <v>52</v>
      </c>
      <c r="N12" s="62" t="s">
        <v>52</v>
      </c>
      <c r="O12" s="63" t="s">
        <v>52</v>
      </c>
      <c r="P12" s="62" t="s">
        <v>52</v>
      </c>
      <c r="Q12" s="62" t="s">
        <v>52</v>
      </c>
      <c r="R12" s="62" t="s">
        <v>52</v>
      </c>
      <c r="S12" s="62" t="s">
        <v>52</v>
      </c>
      <c r="T12" s="62" t="s">
        <v>52</v>
      </c>
      <c r="U12" s="62" t="s">
        <v>52</v>
      </c>
      <c r="V12" s="62" t="s">
        <v>52</v>
      </c>
      <c r="W12" s="63" t="s">
        <v>52</v>
      </c>
    </row>
    <row r="13" spans="2:26" ht="13.5">
      <c r="B13" s="47">
        <v>2019</v>
      </c>
      <c r="C13" s="48" t="s">
        <v>284</v>
      </c>
      <c r="D13" s="49">
        <f t="shared" si="0"/>
        <v>436112</v>
      </c>
      <c r="E13" s="49">
        <v>75599</v>
      </c>
      <c r="F13" s="49">
        <v>0</v>
      </c>
      <c r="G13" s="49">
        <f t="shared" si="1"/>
        <v>16253.295476583802</v>
      </c>
      <c r="H13" s="62" t="s">
        <v>52</v>
      </c>
      <c r="I13" s="62" t="s">
        <v>52</v>
      </c>
      <c r="J13" s="62" t="s">
        <v>52</v>
      </c>
      <c r="K13" s="62" t="s">
        <v>52</v>
      </c>
      <c r="L13" s="62" t="s">
        <v>52</v>
      </c>
      <c r="M13" s="62" t="s">
        <v>52</v>
      </c>
      <c r="N13" s="62" t="s">
        <v>52</v>
      </c>
      <c r="O13" s="63" t="s">
        <v>52</v>
      </c>
      <c r="P13" s="62" t="s">
        <v>52</v>
      </c>
      <c r="Q13" s="62" t="s">
        <v>52</v>
      </c>
      <c r="R13" s="62" t="s">
        <v>52</v>
      </c>
      <c r="S13" s="62" t="s">
        <v>52</v>
      </c>
      <c r="T13" s="62" t="s">
        <v>52</v>
      </c>
      <c r="U13" s="62" t="s">
        <v>52</v>
      </c>
      <c r="V13" s="62" t="s">
        <v>52</v>
      </c>
      <c r="W13" s="63" t="s">
        <v>52</v>
      </c>
    </row>
    <row r="14" spans="2:26" ht="13.5">
      <c r="B14" s="47">
        <v>2019</v>
      </c>
      <c r="C14" s="48" t="s">
        <v>285</v>
      </c>
      <c r="D14" s="49">
        <f t="shared" si="0"/>
        <v>436112</v>
      </c>
      <c r="E14" s="49">
        <v>109977</v>
      </c>
      <c r="F14" s="49">
        <v>4385</v>
      </c>
      <c r="G14" s="49">
        <f t="shared" si="1"/>
        <v>24587.089475959692</v>
      </c>
      <c r="H14" s="62" t="s">
        <v>52</v>
      </c>
      <c r="I14" s="62" t="s">
        <v>52</v>
      </c>
      <c r="J14" s="62" t="s">
        <v>52</v>
      </c>
      <c r="K14" s="62" t="s">
        <v>52</v>
      </c>
      <c r="L14" s="62" t="s">
        <v>52</v>
      </c>
      <c r="M14" s="62" t="s">
        <v>52</v>
      </c>
      <c r="N14" s="62" t="s">
        <v>52</v>
      </c>
      <c r="O14" s="63" t="s">
        <v>52</v>
      </c>
      <c r="P14" s="62" t="s">
        <v>52</v>
      </c>
      <c r="Q14" s="62" t="s">
        <v>52</v>
      </c>
      <c r="R14" s="62" t="s">
        <v>52</v>
      </c>
      <c r="S14" s="62" t="s">
        <v>52</v>
      </c>
      <c r="T14" s="62" t="s">
        <v>52</v>
      </c>
      <c r="U14" s="62" t="s">
        <v>52</v>
      </c>
      <c r="V14" s="62" t="s">
        <v>52</v>
      </c>
      <c r="W14" s="63" t="s">
        <v>52</v>
      </c>
    </row>
    <row r="15" spans="2:26" ht="13.5">
      <c r="B15" s="47">
        <v>2019</v>
      </c>
      <c r="C15" s="48" t="s">
        <v>286</v>
      </c>
      <c r="D15" s="49">
        <f t="shared" si="0"/>
        <v>436112</v>
      </c>
      <c r="E15" s="49">
        <v>103778</v>
      </c>
      <c r="F15" s="49">
        <v>86744</v>
      </c>
      <c r="G15" s="49">
        <f t="shared" si="1"/>
        <v>40960.996319920887</v>
      </c>
      <c r="H15" s="62" t="s">
        <v>52</v>
      </c>
      <c r="I15" s="62" t="s">
        <v>52</v>
      </c>
      <c r="J15" s="62" t="s">
        <v>52</v>
      </c>
      <c r="K15" s="62" t="s">
        <v>52</v>
      </c>
      <c r="L15" s="62" t="s">
        <v>52</v>
      </c>
      <c r="M15" s="62" t="s">
        <v>52</v>
      </c>
      <c r="N15" s="62" t="s">
        <v>52</v>
      </c>
      <c r="O15" s="63" t="s">
        <v>52</v>
      </c>
      <c r="P15" s="62" t="s">
        <v>52</v>
      </c>
      <c r="Q15" s="62" t="s">
        <v>52</v>
      </c>
      <c r="R15" s="62" t="s">
        <v>52</v>
      </c>
      <c r="S15" s="62" t="s">
        <v>52</v>
      </c>
      <c r="T15" s="62" t="s">
        <v>52</v>
      </c>
      <c r="U15" s="62" t="s">
        <v>52</v>
      </c>
      <c r="V15" s="62" t="s">
        <v>52</v>
      </c>
      <c r="W15" s="63" t="s">
        <v>52</v>
      </c>
    </row>
    <row r="16" spans="2:26" ht="13.5">
      <c r="B16" s="47">
        <v>2019</v>
      </c>
      <c r="C16" s="48" t="s">
        <v>287</v>
      </c>
      <c r="D16" s="49">
        <f t="shared" si="0"/>
        <v>436112</v>
      </c>
      <c r="E16" s="49">
        <v>92613</v>
      </c>
      <c r="F16" s="49">
        <v>92953</v>
      </c>
      <c r="G16" s="49">
        <f t="shared" si="1"/>
        <v>39895.488411324885</v>
      </c>
      <c r="H16" s="62" t="s">
        <v>52</v>
      </c>
      <c r="I16" s="62" t="s">
        <v>52</v>
      </c>
      <c r="J16" s="62" t="s">
        <v>52</v>
      </c>
      <c r="K16" s="62" t="s">
        <v>52</v>
      </c>
      <c r="L16" s="62" t="s">
        <v>52</v>
      </c>
      <c r="M16" s="62" t="s">
        <v>52</v>
      </c>
      <c r="N16" s="62" t="s">
        <v>52</v>
      </c>
      <c r="O16" s="63" t="s">
        <v>52</v>
      </c>
      <c r="P16" s="62" t="s">
        <v>52</v>
      </c>
      <c r="Q16" s="62" t="s">
        <v>52</v>
      </c>
      <c r="R16" s="62" t="s">
        <v>52</v>
      </c>
      <c r="S16" s="62" t="s">
        <v>52</v>
      </c>
      <c r="T16" s="62" t="s">
        <v>52</v>
      </c>
      <c r="U16" s="62" t="s">
        <v>52</v>
      </c>
      <c r="V16" s="62" t="s">
        <v>52</v>
      </c>
      <c r="W16" s="63" t="s">
        <v>52</v>
      </c>
    </row>
    <row r="17" spans="2:33" ht="13.5">
      <c r="B17" s="47">
        <v>2019</v>
      </c>
      <c r="C17" s="48" t="s">
        <v>288</v>
      </c>
      <c r="D17" s="49">
        <f t="shared" si="0"/>
        <v>436112</v>
      </c>
      <c r="E17" s="49">
        <v>95234</v>
      </c>
      <c r="F17" s="49">
        <v>94541</v>
      </c>
      <c r="G17" s="49">
        <f t="shared" si="1"/>
        <v>40800.396156942435</v>
      </c>
      <c r="H17" s="62" t="s">
        <v>52</v>
      </c>
      <c r="I17" s="62" t="s">
        <v>52</v>
      </c>
      <c r="J17" s="62" t="s">
        <v>52</v>
      </c>
      <c r="K17" s="62" t="s">
        <v>52</v>
      </c>
      <c r="L17" s="62" t="s">
        <v>52</v>
      </c>
      <c r="M17" s="62" t="s">
        <v>52</v>
      </c>
      <c r="N17" s="62" t="s">
        <v>52</v>
      </c>
      <c r="O17" s="63" t="s">
        <v>52</v>
      </c>
      <c r="P17" s="62" t="s">
        <v>52</v>
      </c>
      <c r="Q17" s="62" t="s">
        <v>52</v>
      </c>
      <c r="R17" s="62" t="s">
        <v>52</v>
      </c>
      <c r="S17" s="62" t="s">
        <v>52</v>
      </c>
      <c r="T17" s="62" t="s">
        <v>52</v>
      </c>
      <c r="U17" s="62" t="s">
        <v>52</v>
      </c>
      <c r="V17" s="62" t="s">
        <v>52</v>
      </c>
      <c r="W17" s="63" t="s">
        <v>52</v>
      </c>
    </row>
    <row r="18" spans="2:33" ht="13.5">
      <c r="B18" s="47">
        <v>2019</v>
      </c>
      <c r="C18" s="48" t="s">
        <v>289</v>
      </c>
      <c r="D18" s="49">
        <f t="shared" si="0"/>
        <v>436112</v>
      </c>
      <c r="E18" s="49">
        <v>94841</v>
      </c>
      <c r="F18" s="49">
        <v>92477</v>
      </c>
      <c r="G18" s="49">
        <f t="shared" si="1"/>
        <v>40272.157066663909</v>
      </c>
      <c r="H18" s="62" t="s">
        <v>52</v>
      </c>
      <c r="I18" s="62" t="s">
        <v>52</v>
      </c>
      <c r="J18" s="62" t="s">
        <v>52</v>
      </c>
      <c r="K18" s="62" t="s">
        <v>52</v>
      </c>
      <c r="L18" s="62" t="s">
        <v>52</v>
      </c>
      <c r="M18" s="62" t="s">
        <v>52</v>
      </c>
      <c r="N18" s="62" t="s">
        <v>52</v>
      </c>
      <c r="O18" s="63" t="s">
        <v>52</v>
      </c>
      <c r="P18" s="62" t="s">
        <v>52</v>
      </c>
      <c r="Q18" s="62" t="s">
        <v>52</v>
      </c>
      <c r="R18" s="62" t="s">
        <v>52</v>
      </c>
      <c r="S18" s="62" t="s">
        <v>52</v>
      </c>
      <c r="T18" s="62" t="s">
        <v>52</v>
      </c>
      <c r="U18" s="62" t="s">
        <v>52</v>
      </c>
      <c r="V18" s="62" t="s">
        <v>52</v>
      </c>
      <c r="W18" s="63" t="s">
        <v>52</v>
      </c>
    </row>
    <row r="19" spans="2:33" ht="13.5">
      <c r="B19" s="47">
        <v>2019</v>
      </c>
      <c r="C19" s="48" t="s">
        <v>290</v>
      </c>
      <c r="D19" s="62">
        <f t="shared" si="0"/>
        <v>436112</v>
      </c>
      <c r="E19" s="49">
        <v>99689</v>
      </c>
      <c r="F19" s="62">
        <v>85926</v>
      </c>
      <c r="G19" s="49">
        <f t="shared" si="1"/>
        <v>39906.023094036987</v>
      </c>
      <c r="H19" s="62" t="s">
        <v>52</v>
      </c>
      <c r="I19" s="62" t="s">
        <v>52</v>
      </c>
      <c r="J19" s="62" t="s">
        <v>52</v>
      </c>
      <c r="K19" s="62" t="s">
        <v>52</v>
      </c>
      <c r="L19" s="62" t="s">
        <v>52</v>
      </c>
      <c r="M19" s="62" t="s">
        <v>52</v>
      </c>
      <c r="N19" s="62" t="s">
        <v>52</v>
      </c>
      <c r="O19" s="63" t="s">
        <v>52</v>
      </c>
      <c r="P19" s="62" t="s">
        <v>52</v>
      </c>
      <c r="Q19" s="62" t="s">
        <v>52</v>
      </c>
      <c r="R19" s="62" t="s">
        <v>52</v>
      </c>
      <c r="S19" s="62" t="s">
        <v>52</v>
      </c>
      <c r="T19" s="62" t="s">
        <v>52</v>
      </c>
      <c r="U19" s="62" t="s">
        <v>52</v>
      </c>
      <c r="V19" s="62" t="s">
        <v>52</v>
      </c>
      <c r="W19" s="63" t="s">
        <v>52</v>
      </c>
    </row>
    <row r="20" spans="2:33" ht="13.5">
      <c r="B20" s="47">
        <v>2019</v>
      </c>
      <c r="C20" s="48" t="s">
        <v>291</v>
      </c>
      <c r="D20" s="49">
        <f t="shared" si="0"/>
        <v>436112</v>
      </c>
      <c r="E20" s="49">
        <v>96925</v>
      </c>
      <c r="F20" s="49">
        <v>91255</v>
      </c>
      <c r="G20" s="49">
        <f t="shared" si="1"/>
        <v>40457.481484987104</v>
      </c>
      <c r="H20" s="62" t="s">
        <v>52</v>
      </c>
      <c r="I20" s="62" t="s">
        <v>52</v>
      </c>
      <c r="J20" s="62" t="s">
        <v>52</v>
      </c>
      <c r="K20" s="62" t="s">
        <v>52</v>
      </c>
      <c r="L20" s="62" t="s">
        <v>52</v>
      </c>
      <c r="M20" s="62" t="s">
        <v>52</v>
      </c>
      <c r="N20" s="62" t="s">
        <v>52</v>
      </c>
      <c r="O20" s="63" t="s">
        <v>52</v>
      </c>
      <c r="P20" s="62" t="s">
        <v>52</v>
      </c>
      <c r="Q20" s="62" t="s">
        <v>52</v>
      </c>
      <c r="R20" s="62" t="s">
        <v>52</v>
      </c>
      <c r="S20" s="62" t="s">
        <v>52</v>
      </c>
      <c r="T20" s="62" t="s">
        <v>52</v>
      </c>
      <c r="U20" s="62" t="s">
        <v>52</v>
      </c>
      <c r="V20" s="62" t="s">
        <v>52</v>
      </c>
      <c r="W20" s="63" t="s">
        <v>52</v>
      </c>
    </row>
    <row r="21" spans="2:33" ht="14.25" thickBot="1">
      <c r="B21" s="47">
        <v>2019</v>
      </c>
      <c r="C21" s="48" t="s">
        <v>292</v>
      </c>
      <c r="D21" s="49">
        <f t="shared" si="0"/>
        <v>436112</v>
      </c>
      <c r="E21" s="49">
        <v>105882</v>
      </c>
      <c r="F21" s="49">
        <v>87958</v>
      </c>
      <c r="G21" s="49">
        <f t="shared" si="1"/>
        <v>41674.344834997872</v>
      </c>
      <c r="H21" s="62">
        <f t="shared" ref="H21:H44" si="2">$G21*$C$49/2000</f>
        <v>2.5004606900998718</v>
      </c>
      <c r="I21" s="62">
        <f t="shared" ref="I21:I44" si="3">$G21*$C$50/2000</f>
        <v>0.5167618759539736</v>
      </c>
      <c r="J21" s="62">
        <f t="shared" ref="J21:J44" si="4">$G21*$C$51/2000</f>
        <v>1.7919968279049083</v>
      </c>
      <c r="K21" s="62">
        <f t="shared" ref="K21:K44" si="5">$G21*$C$52/2000</f>
        <v>4.8758983456947513E-2</v>
      </c>
      <c r="L21" s="62">
        <f t="shared" ref="L21:L45" si="6">M21*$C$56/10000</f>
        <v>3.6121158370992328E-3</v>
      </c>
      <c r="M21" s="62">
        <f t="shared" ref="M21:M44" si="7">$G21*$C$53/2000</f>
        <v>3.3339475867998298</v>
      </c>
      <c r="N21" s="62">
        <f t="shared" ref="N21:N44" si="8">$G21*$C$54/2000</f>
        <v>2.2920889659248829</v>
      </c>
      <c r="O21" s="63">
        <f t="shared" ref="O21:O44" si="9">$G21*$C$55/2000</f>
        <v>2.2920889659248829</v>
      </c>
      <c r="P21" s="404" t="s">
        <v>52</v>
      </c>
      <c r="Q21" s="62" t="s">
        <v>52</v>
      </c>
      <c r="R21" s="62" t="s">
        <v>52</v>
      </c>
      <c r="S21" s="62" t="s">
        <v>52</v>
      </c>
      <c r="T21" s="62" t="s">
        <v>52</v>
      </c>
      <c r="U21" s="62" t="s">
        <v>52</v>
      </c>
      <c r="V21" s="62" t="s">
        <v>52</v>
      </c>
      <c r="W21" s="63" t="s">
        <v>52</v>
      </c>
      <c r="Y21" s="365"/>
      <c r="Z21" s="480" t="s">
        <v>301</v>
      </c>
      <c r="AA21" s="480"/>
      <c r="AB21" s="480"/>
      <c r="AC21" s="34"/>
      <c r="AD21" s="480" t="s">
        <v>302</v>
      </c>
      <c r="AE21" s="480"/>
      <c r="AF21" s="480"/>
    </row>
    <row r="22" spans="2:33" ht="13.5">
      <c r="B22" s="47">
        <v>2020</v>
      </c>
      <c r="C22" s="48" t="s">
        <v>281</v>
      </c>
      <c r="D22" s="49">
        <f t="shared" si="0"/>
        <v>484330</v>
      </c>
      <c r="E22" s="49">
        <v>111834</v>
      </c>
      <c r="F22" s="49">
        <v>80628</v>
      </c>
      <c r="G22" s="49">
        <f>D22*SUM(E22:F22)/SUM($E$22:$F$33)</f>
        <v>42557.336005062221</v>
      </c>
      <c r="H22" s="62">
        <f t="shared" si="2"/>
        <v>2.5534401603037327</v>
      </c>
      <c r="I22" s="62">
        <f t="shared" si="3"/>
        <v>0.5277109664627716</v>
      </c>
      <c r="J22" s="62">
        <f t="shared" si="4"/>
        <v>1.8299654482176755</v>
      </c>
      <c r="K22" s="62">
        <f t="shared" si="5"/>
        <v>4.9792083125922801E-2</v>
      </c>
      <c r="L22" s="62">
        <f t="shared" si="6"/>
        <v>3.6886489272302554E-3</v>
      </c>
      <c r="M22" s="62">
        <f t="shared" si="7"/>
        <v>3.4045868804049779</v>
      </c>
      <c r="N22" s="62">
        <f t="shared" si="8"/>
        <v>2.340653480278422</v>
      </c>
      <c r="O22" s="63">
        <f t="shared" si="9"/>
        <v>2.340653480278422</v>
      </c>
      <c r="P22" s="62" t="s">
        <v>52</v>
      </c>
      <c r="Q22" s="62" t="s">
        <v>52</v>
      </c>
      <c r="R22" s="62" t="s">
        <v>52</v>
      </c>
      <c r="S22" s="62" t="s">
        <v>52</v>
      </c>
      <c r="T22" s="62" t="s">
        <v>52</v>
      </c>
      <c r="U22" s="62" t="s">
        <v>52</v>
      </c>
      <c r="V22" s="62" t="s">
        <v>52</v>
      </c>
      <c r="W22" s="63" t="s">
        <v>52</v>
      </c>
      <c r="Y22" s="365"/>
      <c r="Z22" s="318" t="s">
        <v>273</v>
      </c>
      <c r="AA22" s="319" t="s">
        <v>304</v>
      </c>
      <c r="AB22" s="320" t="s">
        <v>305</v>
      </c>
      <c r="AC22" s="73"/>
      <c r="AD22" s="401" t="s">
        <v>273</v>
      </c>
      <c r="AE22" s="402" t="s">
        <v>304</v>
      </c>
      <c r="AF22" s="403" t="s">
        <v>305</v>
      </c>
      <c r="AG22" s="1"/>
    </row>
    <row r="23" spans="2:33" ht="13.5">
      <c r="B23" s="47">
        <v>2020</v>
      </c>
      <c r="C23" s="48" t="s">
        <v>282</v>
      </c>
      <c r="D23" s="49">
        <f t="shared" si="0"/>
        <v>484330</v>
      </c>
      <c r="E23" s="49">
        <v>110357</v>
      </c>
      <c r="F23" s="49">
        <v>85644</v>
      </c>
      <c r="G23" s="49">
        <f t="shared" ref="G23:G33" si="10">D23*SUM(E23:F23)/SUM($E$22:$F$33)</f>
        <v>43339.882233002885</v>
      </c>
      <c r="H23" s="62">
        <f t="shared" si="2"/>
        <v>2.6003929339801726</v>
      </c>
      <c r="I23" s="62">
        <f t="shared" si="3"/>
        <v>0.5374145396892358</v>
      </c>
      <c r="J23" s="62">
        <f t="shared" si="4"/>
        <v>1.8636149360191239</v>
      </c>
      <c r="K23" s="62">
        <f t="shared" si="5"/>
        <v>5.0707662212613379E-2</v>
      </c>
      <c r="L23" s="62">
        <f t="shared" si="6"/>
        <v>3.7564759712881363E-3</v>
      </c>
      <c r="M23" s="62">
        <f t="shared" si="7"/>
        <v>3.4671905786402308</v>
      </c>
      <c r="N23" s="62">
        <f t="shared" si="8"/>
        <v>2.3836935228151588</v>
      </c>
      <c r="O23" s="63">
        <f t="shared" si="9"/>
        <v>2.3836935228151588</v>
      </c>
      <c r="P23" s="62" t="s">
        <v>52</v>
      </c>
      <c r="Q23" s="62" t="s">
        <v>52</v>
      </c>
      <c r="R23" s="62" t="s">
        <v>52</v>
      </c>
      <c r="S23" s="62" t="s">
        <v>52</v>
      </c>
      <c r="T23" s="62" t="s">
        <v>52</v>
      </c>
      <c r="U23" s="62" t="s">
        <v>52</v>
      </c>
      <c r="V23" s="62" t="s">
        <v>52</v>
      </c>
      <c r="W23" s="63" t="s">
        <v>52</v>
      </c>
      <c r="Y23" s="365"/>
      <c r="Z23" s="398">
        <v>2019</v>
      </c>
      <c r="AA23" s="399">
        <v>365</v>
      </c>
      <c r="AB23" s="400">
        <v>259966</v>
      </c>
      <c r="AD23" s="316">
        <v>2019</v>
      </c>
      <c r="AE23" s="3">
        <v>365</v>
      </c>
      <c r="AF23" s="321">
        <v>176146</v>
      </c>
      <c r="AG23" s="74"/>
    </row>
    <row r="24" spans="2:33" ht="13.5">
      <c r="B24" s="47">
        <v>2020</v>
      </c>
      <c r="C24" s="48" t="s">
        <v>283</v>
      </c>
      <c r="D24" s="49">
        <f t="shared" si="0"/>
        <v>484330</v>
      </c>
      <c r="E24" s="49">
        <v>109251</v>
      </c>
      <c r="F24" s="49">
        <v>87528</v>
      </c>
      <c r="G24" s="49">
        <f t="shared" si="10"/>
        <v>43511.914153132253</v>
      </c>
      <c r="H24" s="62">
        <f t="shared" si="2"/>
        <v>2.6107148491879348</v>
      </c>
      <c r="I24" s="62">
        <f t="shared" si="3"/>
        <v>0.53954773549883983</v>
      </c>
      <c r="J24" s="62">
        <f t="shared" si="4"/>
        <v>1.8710123085846868</v>
      </c>
      <c r="K24" s="62">
        <f t="shared" si="5"/>
        <v>5.0908939559164736E-2</v>
      </c>
      <c r="L24" s="62">
        <f t="shared" si="6"/>
        <v>3.7713868049352207E-3</v>
      </c>
      <c r="M24" s="62">
        <f t="shared" si="7"/>
        <v>3.4809531322505802</v>
      </c>
      <c r="N24" s="62">
        <f t="shared" si="8"/>
        <v>2.3931552784222738</v>
      </c>
      <c r="O24" s="63">
        <f t="shared" si="9"/>
        <v>2.3931552784222738</v>
      </c>
      <c r="P24" s="62" t="s">
        <v>52</v>
      </c>
      <c r="Q24" s="62" t="s">
        <v>52</v>
      </c>
      <c r="R24" s="62" t="s">
        <v>52</v>
      </c>
      <c r="S24" s="62" t="s">
        <v>52</v>
      </c>
      <c r="T24" s="62" t="s">
        <v>52</v>
      </c>
      <c r="U24" s="62" t="s">
        <v>52</v>
      </c>
      <c r="V24" s="62" t="s">
        <v>52</v>
      </c>
      <c r="W24" s="63" t="s">
        <v>52</v>
      </c>
      <c r="Y24" s="365"/>
      <c r="Z24" s="316">
        <v>2020</v>
      </c>
      <c r="AA24" s="3">
        <v>366</v>
      </c>
      <c r="AB24" s="321">
        <v>250066</v>
      </c>
      <c r="AD24" s="316">
        <v>2020</v>
      </c>
      <c r="AE24" s="3">
        <v>366</v>
      </c>
      <c r="AF24" s="321">
        <v>234264</v>
      </c>
      <c r="AG24" s="74"/>
    </row>
    <row r="25" spans="2:33" ht="14.25" thickBot="1">
      <c r="B25" s="47">
        <v>2020</v>
      </c>
      <c r="C25" s="48" t="s">
        <v>284</v>
      </c>
      <c r="D25" s="49">
        <f t="shared" si="0"/>
        <v>484330</v>
      </c>
      <c r="E25" s="49">
        <v>72706</v>
      </c>
      <c r="F25" s="49">
        <v>58457</v>
      </c>
      <c r="G25" s="49">
        <f t="shared" si="10"/>
        <v>29002.856992195739</v>
      </c>
      <c r="H25" s="62">
        <f t="shared" si="2"/>
        <v>1.7401714195317441</v>
      </c>
      <c r="I25" s="62">
        <f t="shared" si="3"/>
        <v>0.35963542670322718</v>
      </c>
      <c r="J25" s="62">
        <f t="shared" si="4"/>
        <v>1.2471228506644167</v>
      </c>
      <c r="K25" s="62">
        <f t="shared" si="5"/>
        <v>3.3933342680869019E-2</v>
      </c>
      <c r="L25" s="62">
        <f t="shared" si="6"/>
        <v>2.5138170612500231E-3</v>
      </c>
      <c r="M25" s="62">
        <f t="shared" si="7"/>
        <v>2.3202285593756593</v>
      </c>
      <c r="N25" s="62">
        <f t="shared" si="8"/>
        <v>1.5951571345707658</v>
      </c>
      <c r="O25" s="63">
        <f t="shared" si="9"/>
        <v>1.5951571345707658</v>
      </c>
      <c r="P25" s="62" t="s">
        <v>52</v>
      </c>
      <c r="Q25" s="62" t="s">
        <v>52</v>
      </c>
      <c r="R25" s="62" t="s">
        <v>52</v>
      </c>
      <c r="S25" s="62" t="s">
        <v>52</v>
      </c>
      <c r="T25" s="62" t="s">
        <v>52</v>
      </c>
      <c r="U25" s="62" t="s">
        <v>52</v>
      </c>
      <c r="V25" s="62" t="s">
        <v>52</v>
      </c>
      <c r="W25" s="63" t="s">
        <v>52</v>
      </c>
      <c r="Y25" s="365"/>
      <c r="Z25" s="317">
        <v>2021</v>
      </c>
      <c r="AA25" s="162">
        <v>365</v>
      </c>
      <c r="AB25" s="322">
        <v>257842</v>
      </c>
      <c r="AD25" s="317">
        <v>2021</v>
      </c>
      <c r="AE25" s="162">
        <v>365</v>
      </c>
      <c r="AF25" s="322">
        <v>222607</v>
      </c>
      <c r="AG25" s="74"/>
    </row>
    <row r="26" spans="2:33" ht="13.5">
      <c r="B26" s="47">
        <v>2020</v>
      </c>
      <c r="C26" s="48" t="s">
        <v>285</v>
      </c>
      <c r="D26" s="49">
        <f t="shared" si="0"/>
        <v>484330</v>
      </c>
      <c r="E26" s="49">
        <v>0</v>
      </c>
      <c r="F26" s="49">
        <v>78059</v>
      </c>
      <c r="G26" s="49">
        <f t="shared" si="10"/>
        <v>17260.462279406594</v>
      </c>
      <c r="H26" s="62">
        <f t="shared" si="2"/>
        <v>1.0356277367643953</v>
      </c>
      <c r="I26" s="62">
        <f t="shared" si="3"/>
        <v>0.21402973226464175</v>
      </c>
      <c r="J26" s="62">
        <f t="shared" si="4"/>
        <v>0.74219987801448351</v>
      </c>
      <c r="K26" s="62">
        <f t="shared" si="5"/>
        <v>2.0194740866905713E-2</v>
      </c>
      <c r="L26" s="62">
        <f t="shared" si="6"/>
        <v>1.4960472540588091E-3</v>
      </c>
      <c r="M26" s="62">
        <f t="shared" si="7"/>
        <v>1.3808369823525277</v>
      </c>
      <c r="N26" s="62">
        <f t="shared" si="8"/>
        <v>0.94932542536736275</v>
      </c>
      <c r="O26" s="63">
        <f t="shared" si="9"/>
        <v>0.94932542536736275</v>
      </c>
      <c r="P26" s="62" t="s">
        <v>52</v>
      </c>
      <c r="Q26" s="62" t="s">
        <v>52</v>
      </c>
      <c r="R26" s="62" t="s">
        <v>52</v>
      </c>
      <c r="S26" s="62" t="s">
        <v>52</v>
      </c>
      <c r="T26" s="62" t="s">
        <v>52</v>
      </c>
      <c r="U26" s="62" t="s">
        <v>52</v>
      </c>
      <c r="V26" s="62" t="s">
        <v>52</v>
      </c>
      <c r="W26" s="63" t="s">
        <v>52</v>
      </c>
      <c r="Y26" s="365"/>
    </row>
    <row r="27" spans="2:33" ht="13.5">
      <c r="B27" s="47">
        <v>2020</v>
      </c>
      <c r="C27" s="48" t="s">
        <v>286</v>
      </c>
      <c r="D27" s="49">
        <f t="shared" si="0"/>
        <v>484330</v>
      </c>
      <c r="E27" s="49">
        <v>90315</v>
      </c>
      <c r="F27" s="49">
        <v>77659</v>
      </c>
      <c r="G27" s="49">
        <f t="shared" si="10"/>
        <v>37142.531814666385</v>
      </c>
      <c r="H27" s="62">
        <f t="shared" si="2"/>
        <v>2.2285519088799828</v>
      </c>
      <c r="I27" s="62">
        <f t="shared" si="3"/>
        <v>0.46056739450186313</v>
      </c>
      <c r="J27" s="62">
        <f t="shared" si="4"/>
        <v>1.5971288680306546</v>
      </c>
      <c r="K27" s="62">
        <f t="shared" si="5"/>
        <v>4.3456762223159674E-2</v>
      </c>
      <c r="L27" s="62">
        <f t="shared" si="6"/>
        <v>3.2193218136701007E-3</v>
      </c>
      <c r="M27" s="62">
        <f t="shared" si="7"/>
        <v>2.9714025451733108</v>
      </c>
      <c r="N27" s="62">
        <f t="shared" si="8"/>
        <v>2.0428392498066512</v>
      </c>
      <c r="O27" s="63">
        <f t="shared" si="9"/>
        <v>2.0428392498066512</v>
      </c>
      <c r="P27" s="62" t="s">
        <v>52</v>
      </c>
      <c r="Q27" s="62" t="s">
        <v>52</v>
      </c>
      <c r="R27" s="62" t="s">
        <v>52</v>
      </c>
      <c r="S27" s="62" t="s">
        <v>52</v>
      </c>
      <c r="T27" s="62" t="s">
        <v>52</v>
      </c>
      <c r="U27" s="62" t="s">
        <v>52</v>
      </c>
      <c r="V27" s="62" t="s">
        <v>52</v>
      </c>
      <c r="W27" s="63" t="s">
        <v>52</v>
      </c>
      <c r="Y27" s="365"/>
    </row>
    <row r="28" spans="2:33" ht="13.5">
      <c r="B28" s="47">
        <v>2020</v>
      </c>
      <c r="C28" s="48" t="s">
        <v>287</v>
      </c>
      <c r="D28" s="49">
        <f t="shared" si="0"/>
        <v>484330</v>
      </c>
      <c r="E28" s="49">
        <v>101452</v>
      </c>
      <c r="F28" s="49">
        <v>92613</v>
      </c>
      <c r="G28" s="49">
        <f t="shared" si="10"/>
        <v>42911.792519159106</v>
      </c>
      <c r="H28" s="62">
        <f t="shared" si="2"/>
        <v>2.5747075511495461</v>
      </c>
      <c r="I28" s="62">
        <f t="shared" si="3"/>
        <v>0.53210622723757284</v>
      </c>
      <c r="J28" s="62">
        <f t="shared" si="4"/>
        <v>1.8452070783238415</v>
      </c>
      <c r="K28" s="62">
        <f t="shared" si="5"/>
        <v>5.0206797247416154E-2</v>
      </c>
      <c r="L28" s="62">
        <f t="shared" si="6"/>
        <v>3.719371377533952E-3</v>
      </c>
      <c r="M28" s="62">
        <f t="shared" si="7"/>
        <v>3.4329434015327283</v>
      </c>
      <c r="N28" s="62">
        <f t="shared" si="8"/>
        <v>2.3601485885537508</v>
      </c>
      <c r="O28" s="63">
        <f t="shared" si="9"/>
        <v>2.3601485885537508</v>
      </c>
      <c r="P28" s="62" t="s">
        <v>52</v>
      </c>
      <c r="Q28" s="62" t="s">
        <v>52</v>
      </c>
      <c r="R28" s="62" t="s">
        <v>52</v>
      </c>
      <c r="S28" s="62" t="s">
        <v>52</v>
      </c>
      <c r="T28" s="62" t="s">
        <v>52</v>
      </c>
      <c r="U28" s="62" t="s">
        <v>52</v>
      </c>
      <c r="V28" s="62" t="s">
        <v>52</v>
      </c>
      <c r="W28" s="63" t="s">
        <v>52</v>
      </c>
      <c r="Y28" s="365"/>
    </row>
    <row r="29" spans="2:33" ht="13.5">
      <c r="B29" s="47">
        <v>2020</v>
      </c>
      <c r="C29" s="48" t="s">
        <v>288</v>
      </c>
      <c r="D29" s="49">
        <f t="shared" si="0"/>
        <v>484330</v>
      </c>
      <c r="E29" s="49">
        <v>103117</v>
      </c>
      <c r="F29" s="49">
        <v>94780</v>
      </c>
      <c r="G29" s="49">
        <f t="shared" si="10"/>
        <v>43759.127118048229</v>
      </c>
      <c r="H29" s="62">
        <f t="shared" si="2"/>
        <v>2.6255476270828937</v>
      </c>
      <c r="I29" s="62">
        <f t="shared" si="3"/>
        <v>0.54261317626379801</v>
      </c>
      <c r="J29" s="62">
        <f t="shared" si="4"/>
        <v>1.8816424660760738</v>
      </c>
      <c r="K29" s="62">
        <f t="shared" si="5"/>
        <v>5.1198178728116432E-2</v>
      </c>
      <c r="L29" s="62">
        <f t="shared" si="6"/>
        <v>3.7928139412044238E-3</v>
      </c>
      <c r="M29" s="62">
        <f t="shared" si="7"/>
        <v>3.5007301694438584</v>
      </c>
      <c r="N29" s="62">
        <f t="shared" si="8"/>
        <v>2.4067519914926523</v>
      </c>
      <c r="O29" s="63">
        <f t="shared" si="9"/>
        <v>2.4067519914926523</v>
      </c>
      <c r="P29" s="62" t="s">
        <v>52</v>
      </c>
      <c r="Q29" s="62" t="s">
        <v>52</v>
      </c>
      <c r="R29" s="62" t="s">
        <v>52</v>
      </c>
      <c r="S29" s="62" t="s">
        <v>52</v>
      </c>
      <c r="T29" s="62" t="s">
        <v>52</v>
      </c>
      <c r="U29" s="62" t="s">
        <v>52</v>
      </c>
      <c r="V29" s="62" t="s">
        <v>52</v>
      </c>
      <c r="W29" s="63" t="s">
        <v>52</v>
      </c>
      <c r="Y29" s="365"/>
    </row>
    <row r="30" spans="2:33" ht="13.5">
      <c r="B30" s="47">
        <v>2020</v>
      </c>
      <c r="C30" s="48" t="s">
        <v>289</v>
      </c>
      <c r="D30" s="49">
        <f t="shared" si="0"/>
        <v>484330</v>
      </c>
      <c r="E30" s="49">
        <v>121107</v>
      </c>
      <c r="F30" s="49">
        <v>75934</v>
      </c>
      <c r="G30" s="49">
        <f t="shared" si="10"/>
        <v>43569.847781761935</v>
      </c>
      <c r="H30" s="62">
        <f t="shared" si="2"/>
        <v>2.6141908669057154</v>
      </c>
      <c r="I30" s="62">
        <f t="shared" si="3"/>
        <v>0.54026611249384804</v>
      </c>
      <c r="J30" s="62">
        <f t="shared" si="4"/>
        <v>1.8735034546157632</v>
      </c>
      <c r="K30" s="62">
        <f t="shared" si="5"/>
        <v>5.0976721904661466E-2</v>
      </c>
      <c r="L30" s="62">
        <f t="shared" si="6"/>
        <v>3.7764081910734411E-3</v>
      </c>
      <c r="M30" s="62">
        <f t="shared" si="7"/>
        <v>3.4855878225409547</v>
      </c>
      <c r="N30" s="62">
        <f t="shared" si="8"/>
        <v>2.3963416279969065</v>
      </c>
      <c r="O30" s="63">
        <f t="shared" si="9"/>
        <v>2.3963416279969065</v>
      </c>
      <c r="P30" s="62" t="s">
        <v>52</v>
      </c>
      <c r="Q30" s="62" t="s">
        <v>52</v>
      </c>
      <c r="R30" s="62" t="s">
        <v>52</v>
      </c>
      <c r="S30" s="62" t="s">
        <v>52</v>
      </c>
      <c r="T30" s="62" t="s">
        <v>52</v>
      </c>
      <c r="U30" s="62" t="s">
        <v>52</v>
      </c>
      <c r="V30" s="62" t="s">
        <v>52</v>
      </c>
      <c r="W30" s="63" t="s">
        <v>52</v>
      </c>
      <c r="Y30" s="365"/>
    </row>
    <row r="31" spans="2:33" ht="13.5">
      <c r="B31" s="47">
        <v>2020</v>
      </c>
      <c r="C31" s="48" t="s">
        <v>290</v>
      </c>
      <c r="D31" s="49">
        <f t="shared" si="0"/>
        <v>484330</v>
      </c>
      <c r="E31" s="49">
        <v>119188</v>
      </c>
      <c r="F31" s="49">
        <v>92147</v>
      </c>
      <c r="G31" s="49">
        <f t="shared" si="10"/>
        <v>46730.547352879141</v>
      </c>
      <c r="H31" s="62">
        <f t="shared" si="2"/>
        <v>2.8038328411727478</v>
      </c>
      <c r="I31" s="62">
        <f t="shared" si="3"/>
        <v>0.57945878717570132</v>
      </c>
      <c r="J31" s="62">
        <f t="shared" si="4"/>
        <v>2.009413536173803</v>
      </c>
      <c r="K31" s="62">
        <f t="shared" si="5"/>
        <v>5.4674740402868592E-2</v>
      </c>
      <c r="L31" s="62">
        <f t="shared" si="6"/>
        <v>4.0503612195457077E-3</v>
      </c>
      <c r="M31" s="62">
        <f t="shared" si="7"/>
        <v>3.7384437882303314</v>
      </c>
      <c r="N31" s="62">
        <f t="shared" si="8"/>
        <v>2.5701801044083528</v>
      </c>
      <c r="O31" s="63">
        <f t="shared" si="9"/>
        <v>2.5701801044083528</v>
      </c>
      <c r="P31" s="62" t="s">
        <v>52</v>
      </c>
      <c r="Q31" s="62" t="s">
        <v>52</v>
      </c>
      <c r="R31" s="62" t="s">
        <v>52</v>
      </c>
      <c r="S31" s="62" t="s">
        <v>52</v>
      </c>
      <c r="T31" s="62" t="s">
        <v>52</v>
      </c>
      <c r="U31" s="62" t="s">
        <v>52</v>
      </c>
      <c r="V31" s="62" t="s">
        <v>52</v>
      </c>
      <c r="W31" s="63" t="s">
        <v>52</v>
      </c>
      <c r="Y31" s="365"/>
    </row>
    <row r="32" spans="2:33" ht="13.5">
      <c r="B32" s="47">
        <v>2020</v>
      </c>
      <c r="C32" s="48" t="s">
        <v>291</v>
      </c>
      <c r="D32" s="49">
        <f t="shared" si="0"/>
        <v>484330</v>
      </c>
      <c r="E32" s="49">
        <v>118181</v>
      </c>
      <c r="F32" s="49">
        <v>90585</v>
      </c>
      <c r="G32" s="49">
        <f t="shared" si="10"/>
        <v>46162.488223300286</v>
      </c>
      <c r="H32" s="62">
        <f t="shared" si="2"/>
        <v>2.7697492933980166</v>
      </c>
      <c r="I32" s="62">
        <f t="shared" si="3"/>
        <v>0.57241485396892355</v>
      </c>
      <c r="J32" s="62">
        <f t="shared" si="4"/>
        <v>1.9849869936019122</v>
      </c>
      <c r="K32" s="62">
        <f t="shared" si="5"/>
        <v>5.4010111221261335E-2</v>
      </c>
      <c r="L32" s="62">
        <f t="shared" si="6"/>
        <v>4.001124803556814E-3</v>
      </c>
      <c r="M32" s="62">
        <f t="shared" si="7"/>
        <v>3.6929990578640233</v>
      </c>
      <c r="N32" s="62">
        <f t="shared" si="8"/>
        <v>2.5389368522815157</v>
      </c>
      <c r="O32" s="63">
        <f t="shared" si="9"/>
        <v>2.5389368522815157</v>
      </c>
      <c r="P32" s="62" t="s">
        <v>52</v>
      </c>
      <c r="Q32" s="62" t="s">
        <v>52</v>
      </c>
      <c r="R32" s="62" t="s">
        <v>52</v>
      </c>
      <c r="S32" s="62" t="s">
        <v>52</v>
      </c>
      <c r="T32" s="62" t="s">
        <v>52</v>
      </c>
      <c r="U32" s="62" t="s">
        <v>52</v>
      </c>
      <c r="V32" s="62" t="s">
        <v>52</v>
      </c>
      <c r="W32" s="63" t="s">
        <v>52</v>
      </c>
      <c r="Y32" s="365"/>
    </row>
    <row r="33" spans="2:25" ht="13.5">
      <c r="B33" s="47">
        <v>2020</v>
      </c>
      <c r="C33" s="48" t="s">
        <v>292</v>
      </c>
      <c r="D33" s="49">
        <f t="shared" si="0"/>
        <v>484330</v>
      </c>
      <c r="E33" s="49">
        <v>123515</v>
      </c>
      <c r="F33" s="49">
        <v>95285</v>
      </c>
      <c r="G33" s="49">
        <f t="shared" si="10"/>
        <v>48381.213527385218</v>
      </c>
      <c r="H33" s="62">
        <f t="shared" si="2"/>
        <v>2.9028728116431126</v>
      </c>
      <c r="I33" s="62">
        <f t="shared" si="3"/>
        <v>0.59992704773957661</v>
      </c>
      <c r="J33" s="62">
        <f t="shared" si="4"/>
        <v>2.0803921816775643</v>
      </c>
      <c r="K33" s="62">
        <f t="shared" si="5"/>
        <v>5.6606019827040707E-2</v>
      </c>
      <c r="L33" s="62">
        <f t="shared" si="6"/>
        <v>4.1934323932931164E-3</v>
      </c>
      <c r="M33" s="62">
        <f t="shared" si="7"/>
        <v>3.8704970821908171</v>
      </c>
      <c r="N33" s="62">
        <f t="shared" si="8"/>
        <v>2.660966744006187</v>
      </c>
      <c r="O33" s="63">
        <f t="shared" si="9"/>
        <v>2.660966744006187</v>
      </c>
      <c r="P33" s="62" t="s">
        <v>52</v>
      </c>
      <c r="Q33" s="62" t="s">
        <v>52</v>
      </c>
      <c r="R33" s="62" t="s">
        <v>52</v>
      </c>
      <c r="S33" s="62" t="s">
        <v>52</v>
      </c>
      <c r="T33" s="62" t="s">
        <v>52</v>
      </c>
      <c r="U33" s="62" t="s">
        <v>52</v>
      </c>
      <c r="V33" s="62" t="s">
        <v>52</v>
      </c>
      <c r="W33" s="63" t="s">
        <v>52</v>
      </c>
      <c r="Y33" s="365"/>
    </row>
    <row r="34" spans="2:25" ht="13.5">
      <c r="B34" s="47">
        <v>2021</v>
      </c>
      <c r="C34" s="48" t="s">
        <v>281</v>
      </c>
      <c r="D34" s="49">
        <f t="shared" si="0"/>
        <v>480449</v>
      </c>
      <c r="E34" s="49">
        <v>118021</v>
      </c>
      <c r="F34" s="49">
        <v>92880</v>
      </c>
      <c r="G34" s="49">
        <f>D34*SUM(E34:F34)/SUM($E$34:$F$45)</f>
        <v>44072.443211162601</v>
      </c>
      <c r="H34" s="62">
        <f t="shared" si="2"/>
        <v>2.644346592669756</v>
      </c>
      <c r="I34" s="62">
        <f t="shared" si="3"/>
        <v>0.54649829581841614</v>
      </c>
      <c r="J34" s="62">
        <f t="shared" si="4"/>
        <v>1.8951150580799918</v>
      </c>
      <c r="K34" s="62">
        <f t="shared" si="5"/>
        <v>5.1564758557060247E-2</v>
      </c>
      <c r="L34" s="62">
        <f t="shared" si="6"/>
        <v>3.819970553418422E-3</v>
      </c>
      <c r="M34" s="62">
        <f t="shared" si="7"/>
        <v>3.5257954568930083</v>
      </c>
      <c r="N34" s="62">
        <f t="shared" si="8"/>
        <v>2.4239843766139431</v>
      </c>
      <c r="O34" s="63">
        <f t="shared" si="9"/>
        <v>2.4239843766139431</v>
      </c>
      <c r="P34" s="62" t="s">
        <v>52</v>
      </c>
      <c r="Q34" s="62" t="s">
        <v>52</v>
      </c>
      <c r="R34" s="62" t="s">
        <v>52</v>
      </c>
      <c r="S34" s="62" t="s">
        <v>52</v>
      </c>
      <c r="T34" s="62" t="s">
        <v>52</v>
      </c>
      <c r="U34" s="62" t="s">
        <v>52</v>
      </c>
      <c r="V34" s="62" t="s">
        <v>52</v>
      </c>
      <c r="W34" s="63" t="s">
        <v>52</v>
      </c>
      <c r="Y34" s="365"/>
    </row>
    <row r="35" spans="2:25" ht="13.5">
      <c r="B35" s="47">
        <v>2021</v>
      </c>
      <c r="C35" s="48" t="s">
        <v>282</v>
      </c>
      <c r="D35" s="49">
        <f t="shared" si="0"/>
        <v>480449</v>
      </c>
      <c r="E35" s="49">
        <v>102058</v>
      </c>
      <c r="F35" s="49">
        <v>89264</v>
      </c>
      <c r="G35" s="49">
        <f t="shared" ref="G35:G45" si="11">D35*SUM(E35:F35)/SUM($E$34:$F$45)</f>
        <v>39980.976761826882</v>
      </c>
      <c r="H35" s="62">
        <f t="shared" si="2"/>
        <v>2.3988586057096128</v>
      </c>
      <c r="I35" s="62">
        <f t="shared" si="3"/>
        <v>0.49576411184665331</v>
      </c>
      <c r="J35" s="62">
        <f t="shared" si="4"/>
        <v>1.7191820007585557</v>
      </c>
      <c r="K35" s="62">
        <f t="shared" si="5"/>
        <v>4.6777742811337453E-2</v>
      </c>
      <c r="L35" s="62">
        <f t="shared" si="6"/>
        <v>3.4653434844838073E-3</v>
      </c>
      <c r="M35" s="62">
        <f t="shared" si="7"/>
        <v>3.1984781409461509</v>
      </c>
      <c r="N35" s="62">
        <f t="shared" si="8"/>
        <v>2.1989537219004784</v>
      </c>
      <c r="O35" s="63">
        <f t="shared" si="9"/>
        <v>2.1989537219004784</v>
      </c>
      <c r="P35" s="62" t="s">
        <v>52</v>
      </c>
      <c r="Q35" s="62" t="s">
        <v>52</v>
      </c>
      <c r="R35" s="62" t="s">
        <v>52</v>
      </c>
      <c r="S35" s="62" t="s">
        <v>52</v>
      </c>
      <c r="T35" s="62" t="s">
        <v>52</v>
      </c>
      <c r="U35" s="62" t="s">
        <v>52</v>
      </c>
      <c r="V35" s="62" t="s">
        <v>52</v>
      </c>
      <c r="W35" s="63" t="s">
        <v>52</v>
      </c>
      <c r="Y35" s="365"/>
    </row>
    <row r="36" spans="2:25" ht="13.5">
      <c r="B36" s="47">
        <v>2021</v>
      </c>
      <c r="C36" s="48" t="s">
        <v>283</v>
      </c>
      <c r="D36" s="49">
        <f t="shared" si="0"/>
        <v>480449</v>
      </c>
      <c r="E36" s="49">
        <v>118515</v>
      </c>
      <c r="F36" s="49">
        <v>90789</v>
      </c>
      <c r="G36" s="49">
        <f t="shared" si="11"/>
        <v>43738.714628518486</v>
      </c>
      <c r="H36" s="62">
        <f t="shared" si="2"/>
        <v>2.6243228777111089</v>
      </c>
      <c r="I36" s="62">
        <f t="shared" si="3"/>
        <v>0.54236006139362913</v>
      </c>
      <c r="J36" s="62">
        <f t="shared" si="4"/>
        <v>1.8807647290262948</v>
      </c>
      <c r="K36" s="62">
        <f t="shared" si="5"/>
        <v>5.1174296115366627E-2</v>
      </c>
      <c r="L36" s="62">
        <f t="shared" si="6"/>
        <v>3.7910446925936312E-3</v>
      </c>
      <c r="M36" s="62">
        <f t="shared" si="7"/>
        <v>3.499097170281479</v>
      </c>
      <c r="N36" s="62">
        <f t="shared" si="8"/>
        <v>2.4056293045685164</v>
      </c>
      <c r="O36" s="63">
        <f t="shared" si="9"/>
        <v>2.4056293045685164</v>
      </c>
      <c r="P36" s="62" t="s">
        <v>52</v>
      </c>
      <c r="Q36" s="62" t="s">
        <v>52</v>
      </c>
      <c r="R36" s="62" t="s">
        <v>52</v>
      </c>
      <c r="S36" s="62" t="s">
        <v>52</v>
      </c>
      <c r="T36" s="62" t="s">
        <v>52</v>
      </c>
      <c r="U36" s="62" t="s">
        <v>52</v>
      </c>
      <c r="V36" s="62" t="s">
        <v>52</v>
      </c>
      <c r="W36" s="63" t="s">
        <v>52</v>
      </c>
      <c r="Y36" s="365"/>
    </row>
    <row r="37" spans="2:25" ht="13.5">
      <c r="B37" s="47">
        <v>2021</v>
      </c>
      <c r="C37" s="48" t="s">
        <v>284</v>
      </c>
      <c r="D37" s="49">
        <f t="shared" si="0"/>
        <v>480449</v>
      </c>
      <c r="E37" s="49">
        <v>92525</v>
      </c>
      <c r="F37" s="49">
        <v>103068</v>
      </c>
      <c r="G37" s="49">
        <f t="shared" si="11"/>
        <v>40873.496972517569</v>
      </c>
      <c r="H37" s="62">
        <f t="shared" si="2"/>
        <v>2.4524098183510539</v>
      </c>
      <c r="I37" s="62">
        <f t="shared" si="3"/>
        <v>0.50683136245921778</v>
      </c>
      <c r="J37" s="62">
        <f t="shared" si="4"/>
        <v>1.7575603698182554</v>
      </c>
      <c r="K37" s="62">
        <f t="shared" si="5"/>
        <v>4.7821991457845554E-2</v>
      </c>
      <c r="L37" s="62">
        <f t="shared" si="6"/>
        <v>3.5427025023815418E-3</v>
      </c>
      <c r="M37" s="62">
        <f t="shared" si="7"/>
        <v>3.2698797578014056</v>
      </c>
      <c r="N37" s="62">
        <f t="shared" si="8"/>
        <v>2.2480423334884665</v>
      </c>
      <c r="O37" s="63">
        <f t="shared" si="9"/>
        <v>2.2480423334884665</v>
      </c>
      <c r="P37" s="62" t="s">
        <v>52</v>
      </c>
      <c r="Q37" s="62" t="s">
        <v>52</v>
      </c>
      <c r="R37" s="62" t="s">
        <v>52</v>
      </c>
      <c r="S37" s="62" t="s">
        <v>52</v>
      </c>
      <c r="T37" s="62" t="s">
        <v>52</v>
      </c>
      <c r="U37" s="62" t="s">
        <v>52</v>
      </c>
      <c r="V37" s="62" t="s">
        <v>52</v>
      </c>
      <c r="W37" s="63" t="s">
        <v>52</v>
      </c>
      <c r="Y37" s="365"/>
    </row>
    <row r="38" spans="2:25" ht="13.5">
      <c r="B38" s="47">
        <v>2021</v>
      </c>
      <c r="C38" s="48" t="s">
        <v>285</v>
      </c>
      <c r="D38" s="49">
        <f t="shared" si="0"/>
        <v>480449</v>
      </c>
      <c r="E38" s="49">
        <v>31949</v>
      </c>
      <c r="F38" s="49">
        <v>110058</v>
      </c>
      <c r="G38" s="49">
        <f t="shared" si="11"/>
        <v>29675.513359763907</v>
      </c>
      <c r="H38" s="62">
        <f t="shared" si="2"/>
        <v>1.7805308015858341</v>
      </c>
      <c r="I38" s="62">
        <f t="shared" si="3"/>
        <v>0.36797636566107239</v>
      </c>
      <c r="J38" s="62">
        <f t="shared" si="4"/>
        <v>1.276047074469848</v>
      </c>
      <c r="K38" s="62">
        <f t="shared" si="5"/>
        <v>3.4720350630923776E-2</v>
      </c>
      <c r="L38" s="62">
        <f t="shared" si="6"/>
        <v>2.5721194227589718E-3</v>
      </c>
      <c r="M38" s="62">
        <f t="shared" si="7"/>
        <v>2.3740410687811129</v>
      </c>
      <c r="N38" s="62">
        <f t="shared" si="8"/>
        <v>1.6321532347870149</v>
      </c>
      <c r="O38" s="63">
        <f t="shared" si="9"/>
        <v>1.6321532347870149</v>
      </c>
      <c r="P38" s="62" t="s">
        <v>52</v>
      </c>
      <c r="Q38" s="62" t="s">
        <v>52</v>
      </c>
      <c r="R38" s="62" t="s">
        <v>52</v>
      </c>
      <c r="S38" s="62" t="s">
        <v>52</v>
      </c>
      <c r="T38" s="62" t="s">
        <v>52</v>
      </c>
      <c r="U38" s="62" t="s">
        <v>52</v>
      </c>
      <c r="V38" s="62" t="s">
        <v>52</v>
      </c>
      <c r="W38" s="63" t="s">
        <v>52</v>
      </c>
      <c r="Y38" s="365"/>
    </row>
    <row r="39" spans="2:25" ht="13.5">
      <c r="B39" s="47">
        <v>2021</v>
      </c>
      <c r="C39" s="48" t="s">
        <v>286</v>
      </c>
      <c r="D39" s="49">
        <f t="shared" si="0"/>
        <v>480449</v>
      </c>
      <c r="E39" s="49">
        <v>96624</v>
      </c>
      <c r="F39" s="49">
        <v>93857</v>
      </c>
      <c r="G39" s="49">
        <f t="shared" si="11"/>
        <v>39805.231152557193</v>
      </c>
      <c r="H39" s="62">
        <f t="shared" si="2"/>
        <v>2.3883138691534316</v>
      </c>
      <c r="I39" s="62">
        <f t="shared" si="3"/>
        <v>0.49358486629170922</v>
      </c>
      <c r="J39" s="62">
        <f t="shared" si="4"/>
        <v>1.7116249395599592</v>
      </c>
      <c r="K39" s="62">
        <f t="shared" si="5"/>
        <v>4.6572120448491919E-2</v>
      </c>
      <c r="L39" s="62">
        <f t="shared" si="6"/>
        <v>3.4501107675435137E-3</v>
      </c>
      <c r="M39" s="62">
        <f t="shared" si="7"/>
        <v>3.1844184922045757</v>
      </c>
      <c r="N39" s="62">
        <f t="shared" si="8"/>
        <v>2.1892877133906454</v>
      </c>
      <c r="O39" s="63">
        <f t="shared" si="9"/>
        <v>2.1892877133906454</v>
      </c>
      <c r="P39" s="62" t="s">
        <v>52</v>
      </c>
      <c r="Q39" s="62" t="s">
        <v>52</v>
      </c>
      <c r="R39" s="62" t="s">
        <v>52</v>
      </c>
      <c r="S39" s="62" t="s">
        <v>52</v>
      </c>
      <c r="T39" s="62" t="s">
        <v>52</v>
      </c>
      <c r="U39" s="62" t="s">
        <v>52</v>
      </c>
      <c r="V39" s="62" t="s">
        <v>52</v>
      </c>
      <c r="W39" s="63" t="s">
        <v>52</v>
      </c>
      <c r="Y39" s="365"/>
    </row>
    <row r="40" spans="2:25" ht="13.5">
      <c r="B40" s="47">
        <v>2021</v>
      </c>
      <c r="C40" s="48" t="s">
        <v>287</v>
      </c>
      <c r="D40" s="49">
        <f t="shared" si="0"/>
        <v>480449</v>
      </c>
      <c r="E40" s="49">
        <v>119732</v>
      </c>
      <c r="F40" s="49">
        <v>97467</v>
      </c>
      <c r="G40" s="49">
        <f t="shared" si="11"/>
        <v>45388.550044908778</v>
      </c>
      <c r="H40" s="62">
        <f t="shared" si="2"/>
        <v>2.7233130026945265</v>
      </c>
      <c r="I40" s="62">
        <f t="shared" si="3"/>
        <v>0.56281802055686891</v>
      </c>
      <c r="J40" s="62">
        <f t="shared" si="4"/>
        <v>1.9517076519310772</v>
      </c>
      <c r="K40" s="62">
        <f t="shared" si="5"/>
        <v>5.3104603552543275E-2</v>
      </c>
      <c r="L40" s="62">
        <f t="shared" si="6"/>
        <v>3.934043860540859E-3</v>
      </c>
      <c r="M40" s="62">
        <f t="shared" si="7"/>
        <v>3.6310840035927021</v>
      </c>
      <c r="N40" s="62">
        <f t="shared" si="8"/>
        <v>2.4963702524699829</v>
      </c>
      <c r="O40" s="63">
        <f t="shared" si="9"/>
        <v>2.4963702524699829</v>
      </c>
      <c r="P40" s="62" t="s">
        <v>52</v>
      </c>
      <c r="Q40" s="62" t="s">
        <v>52</v>
      </c>
      <c r="R40" s="62" t="s">
        <v>52</v>
      </c>
      <c r="S40" s="62" t="s">
        <v>52</v>
      </c>
      <c r="T40" s="62" t="s">
        <v>52</v>
      </c>
      <c r="U40" s="62" t="s">
        <v>52</v>
      </c>
      <c r="V40" s="62" t="s">
        <v>52</v>
      </c>
      <c r="W40" s="63" t="s">
        <v>52</v>
      </c>
      <c r="Y40" s="365"/>
    </row>
    <row r="41" spans="2:25" ht="13.5">
      <c r="B41" s="47">
        <v>2021</v>
      </c>
      <c r="C41" s="48" t="s">
        <v>288</v>
      </c>
      <c r="D41" s="49">
        <f t="shared" si="0"/>
        <v>480449</v>
      </c>
      <c r="E41" s="49">
        <v>118243</v>
      </c>
      <c r="F41" s="49">
        <v>94780</v>
      </c>
      <c r="G41" s="49">
        <f t="shared" si="11"/>
        <v>44515.882191983401</v>
      </c>
      <c r="H41" s="62">
        <f t="shared" si="2"/>
        <v>2.6709529315190039</v>
      </c>
      <c r="I41" s="62">
        <f t="shared" si="3"/>
        <v>0.55199693918059412</v>
      </c>
      <c r="J41" s="62">
        <f t="shared" si="4"/>
        <v>1.9141829342552861</v>
      </c>
      <c r="K41" s="62">
        <f t="shared" si="5"/>
        <v>5.2083582164620577E-2</v>
      </c>
      <c r="L41" s="62">
        <f t="shared" si="6"/>
        <v>3.8584055419407805E-3</v>
      </c>
      <c r="M41" s="62">
        <f t="shared" si="7"/>
        <v>3.5612705753586722</v>
      </c>
      <c r="N41" s="62">
        <f t="shared" si="8"/>
        <v>2.4483735205590871</v>
      </c>
      <c r="O41" s="63">
        <f t="shared" si="9"/>
        <v>2.4483735205590871</v>
      </c>
      <c r="P41" s="62" t="s">
        <v>52</v>
      </c>
      <c r="Q41" s="62" t="s">
        <v>52</v>
      </c>
      <c r="R41" s="62" t="s">
        <v>52</v>
      </c>
      <c r="S41" s="62" t="s">
        <v>52</v>
      </c>
      <c r="T41" s="62" t="s">
        <v>52</v>
      </c>
      <c r="U41" s="62" t="s">
        <v>52</v>
      </c>
      <c r="V41" s="62" t="s">
        <v>52</v>
      </c>
      <c r="W41" s="63" t="s">
        <v>52</v>
      </c>
      <c r="Y41" s="365"/>
    </row>
    <row r="42" spans="2:25" ht="13.5">
      <c r="B42" s="47">
        <v>2021</v>
      </c>
      <c r="C42" s="48" t="s">
        <v>289</v>
      </c>
      <c r="D42" s="49">
        <f t="shared" si="0"/>
        <v>480449</v>
      </c>
      <c r="E42" s="49">
        <v>121107</v>
      </c>
      <c r="F42" s="49">
        <v>85016</v>
      </c>
      <c r="G42" s="49">
        <f t="shared" si="11"/>
        <v>43073.974101661297</v>
      </c>
      <c r="H42" s="62">
        <f t="shared" si="2"/>
        <v>2.5844384460996777</v>
      </c>
      <c r="I42" s="62">
        <f t="shared" si="3"/>
        <v>0.53411727886060012</v>
      </c>
      <c r="J42" s="62">
        <f t="shared" si="4"/>
        <v>1.8521808863714357</v>
      </c>
      <c r="K42" s="62">
        <f t="shared" si="5"/>
        <v>5.0396549698943714E-2</v>
      </c>
      <c r="L42" s="62">
        <f t="shared" si="6"/>
        <v>3.7334284350584654E-3</v>
      </c>
      <c r="M42" s="62">
        <f t="shared" si="7"/>
        <v>3.445917928132904</v>
      </c>
      <c r="N42" s="62">
        <f t="shared" si="8"/>
        <v>2.3690685755913714</v>
      </c>
      <c r="O42" s="63">
        <f t="shared" si="9"/>
        <v>2.3690685755913714</v>
      </c>
      <c r="P42" s="62" t="s">
        <v>52</v>
      </c>
      <c r="Q42" s="62" t="s">
        <v>52</v>
      </c>
      <c r="R42" s="62" t="s">
        <v>52</v>
      </c>
      <c r="S42" s="62" t="s">
        <v>52</v>
      </c>
      <c r="T42" s="62" t="s">
        <v>52</v>
      </c>
      <c r="U42" s="62" t="s">
        <v>52</v>
      </c>
      <c r="V42" s="62" t="s">
        <v>52</v>
      </c>
      <c r="W42" s="63" t="s">
        <v>52</v>
      </c>
      <c r="Y42" s="365"/>
    </row>
    <row r="43" spans="2:25" ht="13.5">
      <c r="B43" s="47">
        <v>2021</v>
      </c>
      <c r="C43" s="48" t="s">
        <v>290</v>
      </c>
      <c r="D43" s="49">
        <f t="shared" si="0"/>
        <v>480449</v>
      </c>
      <c r="E43" s="49">
        <v>102534</v>
      </c>
      <c r="F43" s="49">
        <v>83037</v>
      </c>
      <c r="G43" s="49">
        <f t="shared" si="11"/>
        <v>38779.177714371464</v>
      </c>
      <c r="H43" s="62">
        <f t="shared" si="2"/>
        <v>2.3267506628622874</v>
      </c>
      <c r="I43" s="62">
        <f t="shared" si="3"/>
        <v>0.48086180365820613</v>
      </c>
      <c r="J43" s="62">
        <f t="shared" si="4"/>
        <v>1.6675046417179729</v>
      </c>
      <c r="K43" s="62">
        <f t="shared" si="5"/>
        <v>4.5371637925814619E-2</v>
      </c>
      <c r="L43" s="62">
        <f t="shared" si="6"/>
        <v>3.3611777827910251E-3</v>
      </c>
      <c r="M43" s="62">
        <f t="shared" si="7"/>
        <v>3.1023342171497168</v>
      </c>
      <c r="N43" s="62">
        <f t="shared" si="8"/>
        <v>2.1328547742904305</v>
      </c>
      <c r="O43" s="63">
        <f t="shared" si="9"/>
        <v>2.1328547742904305</v>
      </c>
      <c r="P43" s="62" t="s">
        <v>52</v>
      </c>
      <c r="Q43" s="62" t="s">
        <v>52</v>
      </c>
      <c r="R43" s="62" t="s">
        <v>52</v>
      </c>
      <c r="S43" s="62" t="s">
        <v>52</v>
      </c>
      <c r="T43" s="62" t="s">
        <v>52</v>
      </c>
      <c r="U43" s="62" t="s">
        <v>52</v>
      </c>
      <c r="V43" s="62" t="s">
        <v>52</v>
      </c>
      <c r="W43" s="63" t="s">
        <v>52</v>
      </c>
      <c r="Y43" s="365"/>
    </row>
    <row r="44" spans="2:25" ht="13.5">
      <c r="B44" s="47">
        <v>2021</v>
      </c>
      <c r="C44" s="48" t="s">
        <v>291</v>
      </c>
      <c r="D44" s="49">
        <f t="shared" si="0"/>
        <v>480449</v>
      </c>
      <c r="E44" s="49">
        <v>97991</v>
      </c>
      <c r="F44" s="49">
        <v>86551</v>
      </c>
      <c r="G44" s="49">
        <f t="shared" si="11"/>
        <v>38564.145333945169</v>
      </c>
      <c r="H44" s="62">
        <f t="shared" si="2"/>
        <v>2.3138487200367099</v>
      </c>
      <c r="I44" s="62">
        <f t="shared" si="3"/>
        <v>0.47819540214092005</v>
      </c>
      <c r="J44" s="62">
        <f t="shared" si="4"/>
        <v>1.6582582493596421</v>
      </c>
      <c r="K44" s="62">
        <f t="shared" si="5"/>
        <v>4.5120050040715849E-2</v>
      </c>
      <c r="L44" s="62">
        <f t="shared" si="6"/>
        <v>3.3425398925037934E-3</v>
      </c>
      <c r="M44" s="62">
        <f t="shared" si="7"/>
        <v>3.0851316267156137</v>
      </c>
      <c r="N44" s="62">
        <f t="shared" si="8"/>
        <v>2.1210279933669844</v>
      </c>
      <c r="O44" s="63">
        <f t="shared" si="9"/>
        <v>2.1210279933669844</v>
      </c>
      <c r="P44" s="62">
        <f t="shared" ref="P44" si="12">SUM(H21:H44)/2</f>
        <v>29.234173509246432</v>
      </c>
      <c r="Q44" s="62">
        <f t="shared" ref="Q44" si="13">SUM(I21:I44)/2</f>
        <v>6.0417291919109299</v>
      </c>
      <c r="R44" s="62">
        <f t="shared" ref="R44" si="14">SUM(J21:J44)/2</f>
        <v>20.951157681626615</v>
      </c>
      <c r="S44" s="62">
        <f t="shared" ref="S44" si="15">SUM(K21:K44)/2</f>
        <v>0.57006638343030569</v>
      </c>
      <c r="T44" s="62">
        <f t="shared" ref="T44:U44" si="16">SUM(L21:L44)/2</f>
        <v>4.2231106265877019E-2</v>
      </c>
      <c r="U44" s="62">
        <f t="shared" si="16"/>
        <v>38.978898012328585</v>
      </c>
      <c r="V44" s="62">
        <f t="shared" ref="V44" si="17">SUM(N21:N44)/2</f>
        <v>26.797992383475901</v>
      </c>
      <c r="W44" s="63">
        <f t="shared" ref="W44" si="18">SUM(O21:O44)/2</f>
        <v>26.797992383475901</v>
      </c>
      <c r="Y44" s="365"/>
    </row>
    <row r="45" spans="2:25" ht="13.5">
      <c r="B45" s="413">
        <v>2021</v>
      </c>
      <c r="C45" s="414" t="s">
        <v>292</v>
      </c>
      <c r="D45" s="415">
        <f t="shared" si="0"/>
        <v>480449</v>
      </c>
      <c r="E45" s="415">
        <v>80445</v>
      </c>
      <c r="F45" s="415">
        <v>72594</v>
      </c>
      <c r="G45" s="415">
        <f t="shared" si="11"/>
        <v>31980.89452678325</v>
      </c>
      <c r="H45" s="416"/>
      <c r="I45" s="416"/>
      <c r="J45" s="416"/>
      <c r="K45" s="416"/>
      <c r="L45" s="416"/>
      <c r="M45" s="416"/>
      <c r="N45" s="416"/>
      <c r="O45" s="417"/>
      <c r="P45" s="416"/>
      <c r="Q45" s="416"/>
      <c r="R45" s="416"/>
      <c r="S45" s="416"/>
      <c r="T45" s="416"/>
      <c r="U45" s="416"/>
      <c r="V45" s="416"/>
      <c r="W45" s="417"/>
    </row>
    <row r="46" spans="2:25" ht="17.25" customHeight="1" thickBot="1">
      <c r="B46" s="407"/>
      <c r="C46" s="408"/>
      <c r="D46" s="409"/>
      <c r="E46" s="409"/>
      <c r="F46" s="409"/>
      <c r="G46" s="410"/>
      <c r="H46" s="411"/>
      <c r="I46" s="411"/>
      <c r="J46" s="411"/>
      <c r="K46" s="411"/>
      <c r="L46" s="411"/>
      <c r="M46" s="411"/>
      <c r="N46" s="411"/>
      <c r="O46" s="412"/>
      <c r="P46" s="411"/>
      <c r="Q46" s="411"/>
      <c r="R46" s="411"/>
      <c r="S46" s="411"/>
      <c r="T46" s="411"/>
      <c r="U46" s="411"/>
      <c r="V46" s="411"/>
      <c r="W46" s="412"/>
    </row>
    <row r="47" spans="2:25" ht="13.5" thickBot="1">
      <c r="M47" s="32">
        <f>SUM(M34:M46)</f>
        <v>35.877448437857339</v>
      </c>
    </row>
    <row r="48" spans="2:25" ht="13.5">
      <c r="B48" s="46" t="s">
        <v>128</v>
      </c>
      <c r="C48" s="68" t="s">
        <v>293</v>
      </c>
      <c r="D48" s="69" t="s">
        <v>294</v>
      </c>
      <c r="P48" s="394"/>
      <c r="Q48" s="394"/>
      <c r="R48" s="394"/>
      <c r="S48" s="394"/>
      <c r="T48" s="394"/>
      <c r="U48" s="394"/>
      <c r="V48" s="394"/>
      <c r="W48" s="394"/>
    </row>
    <row r="49" spans="2:4" ht="27" customHeight="1">
      <c r="B49" s="357" t="s">
        <v>306</v>
      </c>
      <c r="C49" s="374">
        <f>'4. Slag Gran_New'!E31*'8a. Baseline Em_Report'!C37/'4. Slag Gran_New'!E51</f>
        <v>0.11999999999999998</v>
      </c>
      <c r="D49" s="385" t="s">
        <v>307</v>
      </c>
    </row>
    <row r="50" spans="2:4" ht="27" customHeight="1">
      <c r="B50" s="373" t="s">
        <v>19</v>
      </c>
      <c r="C50" s="374">
        <v>2.4799999999999999E-2</v>
      </c>
      <c r="D50" s="481" t="s">
        <v>308</v>
      </c>
    </row>
    <row r="51" spans="2:4" ht="27" customHeight="1">
      <c r="B51" s="373" t="s">
        <v>21</v>
      </c>
      <c r="C51" s="374">
        <v>8.5999999999999993E-2</v>
      </c>
      <c r="D51" s="481"/>
    </row>
    <row r="52" spans="2:4" ht="27" customHeight="1">
      <c r="B52" s="373" t="s">
        <v>22</v>
      </c>
      <c r="C52" s="374">
        <v>2.3400000000000001E-3</v>
      </c>
      <c r="D52" s="481"/>
    </row>
    <row r="53" spans="2:4" ht="40.5" customHeight="1">
      <c r="B53" s="47" t="s">
        <v>56</v>
      </c>
      <c r="C53" s="358">
        <v>0.16</v>
      </c>
      <c r="D53" s="481"/>
    </row>
    <row r="54" spans="2:4" ht="27" customHeight="1">
      <c r="B54" s="47" t="s">
        <v>298</v>
      </c>
      <c r="C54" s="358">
        <v>0.11</v>
      </c>
      <c r="D54" s="481"/>
    </row>
    <row r="55" spans="2:4" ht="15.75" thickBot="1">
      <c r="B55" s="52" t="s">
        <v>299</v>
      </c>
      <c r="C55" s="359">
        <v>0.11</v>
      </c>
      <c r="D55" s="482"/>
    </row>
    <row r="56" spans="2:4" ht="81.75" thickBot="1">
      <c r="B56" s="360" t="s">
        <v>24</v>
      </c>
      <c r="C56" s="361">
        <f>'4a. Slag Quenching_Exist'!E41</f>
        <v>10.834351</v>
      </c>
      <c r="D56" s="362" t="s">
        <v>309</v>
      </c>
    </row>
  </sheetData>
  <mergeCells count="5">
    <mergeCell ref="Z21:AB21"/>
    <mergeCell ref="AD21:AF21"/>
    <mergeCell ref="H8:O8"/>
    <mergeCell ref="P8:W8"/>
    <mergeCell ref="D50:D55"/>
  </mergeCells>
  <pageMargins left="0.7" right="0.7" top="0.75" bottom="0.75" header="0.3" footer="0.3"/>
  <pageSetup scale="54" fitToHeight="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01C4D-E95B-44A0-BE35-DBEBFA9DFC25}">
  <sheetPr>
    <tabColor rgb="FF92D050"/>
    <pageSetUpPr fitToPage="1"/>
  </sheetPr>
  <dimension ref="B3:AC54"/>
  <sheetViews>
    <sheetView topLeftCell="A6" zoomScale="150" zoomScaleNormal="150" zoomScaleSheetLayoutView="140" workbookViewId="0">
      <selection activeCell="L46" sqref="L46"/>
    </sheetView>
  </sheetViews>
  <sheetFormatPr defaultColWidth="8.85546875" defaultRowHeight="12.75"/>
  <cols>
    <col min="1" max="1" width="2.7109375" style="2" customWidth="1"/>
    <col min="2" max="2" width="17.7109375" style="2" customWidth="1"/>
    <col min="3" max="3" width="19.85546875" style="2" bestFit="1" customWidth="1"/>
    <col min="4" max="4" width="15.5703125" style="2" bestFit="1" customWidth="1"/>
    <col min="5" max="22" width="8.85546875" style="2"/>
    <col min="23" max="23" width="13.7109375" style="2" hidden="1" customWidth="1"/>
    <col min="24" max="29" width="0" style="2" hidden="1" customWidth="1"/>
    <col min="30" max="16384" width="8.85546875" style="2"/>
  </cols>
  <sheetData>
    <row r="3" spans="2:29">
      <c r="B3" s="6" t="s">
        <v>0</v>
      </c>
      <c r="C3" s="7" t="str">
        <f>'1. Step 1 Evaluation'!C2</f>
        <v>U. S. Steel</v>
      </c>
    </row>
    <row r="4" spans="2:29">
      <c r="B4" s="6" t="s">
        <v>2</v>
      </c>
      <c r="C4" s="7" t="str">
        <f>'1. Step 1 Evaluation'!C3</f>
        <v>Edgar Thomson Plant</v>
      </c>
    </row>
    <row r="5" spans="2:29">
      <c r="B5" s="6" t="s">
        <v>4</v>
      </c>
      <c r="C5" s="7" t="str">
        <f>'1. Step 1 Evaluation'!C4</f>
        <v>Slag Recycler Project</v>
      </c>
    </row>
    <row r="7" spans="2:29" ht="13.5" thickBot="1">
      <c r="B7" s="38" t="s">
        <v>310</v>
      </c>
    </row>
    <row r="8" spans="2:29" ht="15.75" thickBot="1">
      <c r="H8" s="483" t="s">
        <v>311</v>
      </c>
      <c r="I8" s="483"/>
      <c r="J8" s="483"/>
      <c r="K8" s="483"/>
      <c r="L8" s="483"/>
      <c r="M8" s="483"/>
      <c r="N8" s="483" t="s">
        <v>272</v>
      </c>
      <c r="O8" s="483"/>
      <c r="P8" s="483"/>
      <c r="Q8" s="483"/>
      <c r="R8" s="483"/>
      <c r="S8" s="483"/>
      <c r="W8" s="2" t="s">
        <v>312</v>
      </c>
    </row>
    <row r="9" spans="2:29" ht="36" customHeight="1">
      <c r="B9" s="487" t="s">
        <v>273</v>
      </c>
      <c r="C9" s="489" t="s">
        <v>274</v>
      </c>
      <c r="D9" s="485" t="s">
        <v>275</v>
      </c>
      <c r="E9" s="485" t="s">
        <v>276</v>
      </c>
      <c r="F9" s="485" t="s">
        <v>277</v>
      </c>
      <c r="G9" s="485" t="s">
        <v>278</v>
      </c>
      <c r="H9" s="40" t="s">
        <v>56</v>
      </c>
      <c r="I9" s="41"/>
      <c r="J9" s="40" t="s">
        <v>57</v>
      </c>
      <c r="K9" s="41"/>
      <c r="L9" s="40" t="s">
        <v>58</v>
      </c>
      <c r="M9" s="42"/>
      <c r="N9" s="40" t="s">
        <v>56</v>
      </c>
      <c r="O9" s="41"/>
      <c r="P9" s="40" t="s">
        <v>57</v>
      </c>
      <c r="Q9" s="41"/>
      <c r="R9" s="40" t="s">
        <v>58</v>
      </c>
      <c r="S9" s="42"/>
      <c r="W9" s="2" t="s">
        <v>313</v>
      </c>
      <c r="X9" s="484" t="s">
        <v>56</v>
      </c>
      <c r="Y9" s="484"/>
      <c r="Z9" s="484" t="s">
        <v>57</v>
      </c>
      <c r="AA9" s="484"/>
      <c r="AB9" s="484" t="s">
        <v>58</v>
      </c>
      <c r="AC9" s="484"/>
    </row>
    <row r="10" spans="2:29" ht="14.25" thickBot="1">
      <c r="B10" s="488"/>
      <c r="C10" s="490"/>
      <c r="D10" s="486"/>
      <c r="E10" s="486"/>
      <c r="F10" s="486"/>
      <c r="G10" s="486"/>
      <c r="H10" s="43" t="s">
        <v>314</v>
      </c>
      <c r="I10" s="44" t="s">
        <v>315</v>
      </c>
      <c r="J10" s="43" t="s">
        <v>314</v>
      </c>
      <c r="K10" s="43" t="s">
        <v>315</v>
      </c>
      <c r="L10" s="43" t="s">
        <v>314</v>
      </c>
      <c r="M10" s="45" t="s">
        <v>315</v>
      </c>
      <c r="N10" s="43" t="s">
        <v>314</v>
      </c>
      <c r="O10" s="44" t="s">
        <v>315</v>
      </c>
      <c r="P10" s="43" t="s">
        <v>314</v>
      </c>
      <c r="Q10" s="43" t="s">
        <v>315</v>
      </c>
      <c r="R10" s="43" t="s">
        <v>314</v>
      </c>
      <c r="S10" s="45" t="s">
        <v>315</v>
      </c>
      <c r="X10" s="2" t="s">
        <v>314</v>
      </c>
      <c r="Y10" s="2" t="s">
        <v>315</v>
      </c>
      <c r="Z10" s="2" t="s">
        <v>314</v>
      </c>
      <c r="AA10" s="2" t="s">
        <v>315</v>
      </c>
      <c r="AB10" s="2" t="s">
        <v>314</v>
      </c>
      <c r="AC10" s="2" t="s">
        <v>315</v>
      </c>
    </row>
    <row r="11" spans="2:29" ht="13.5">
      <c r="B11" s="47">
        <v>2019</v>
      </c>
      <c r="C11" s="48" t="s">
        <v>292</v>
      </c>
      <c r="D11" s="49">
        <f>'8b. Baseline Emissions_Other'!D21</f>
        <v>436112</v>
      </c>
      <c r="E11" s="49">
        <f>'8b. Baseline Emissions_Other'!E21</f>
        <v>105882</v>
      </c>
      <c r="F11" s="49">
        <f>'8b. Baseline Emissions_Other'!F21</f>
        <v>87958</v>
      </c>
      <c r="G11" s="49">
        <f>'8b. Baseline Emissions_Other'!G21</f>
        <v>41674.344834997872</v>
      </c>
      <c r="H11" s="50" cm="1">
        <f t="array" aca="1" ref="H11" ca="1">INDIRECT($W11&amp;X11)*($G11/$D11)</f>
        <v>4.6881524734264671E-2</v>
      </c>
      <c r="I11" s="50" cm="1">
        <f t="array" aca="1" ref="I11" ca="1">INDIRECT($W11&amp;Y11)*($G11/$D11)</f>
        <v>1.2587390981682243</v>
      </c>
      <c r="J11" s="50" cm="1">
        <f t="array" aca="1" ref="J11" ca="1">INDIRECT($W11&amp;Z11)*($G11/$D11)</f>
        <v>9.3763049468529366E-3</v>
      </c>
      <c r="K11" s="50" cm="1">
        <f t="array" aca="1" ref="K11" ca="1">INDIRECT($W11&amp;AA11)*($G11/$D11)</f>
        <v>0.32722752377296993</v>
      </c>
      <c r="L11" s="50" cm="1">
        <f t="array" aca="1" ref="L11" ca="1">INDIRECT($W11&amp;AB11)*($G11/$D11)</f>
        <v>2.301456668772993E-3</v>
      </c>
      <c r="M11" s="51" cm="1">
        <f t="array" aca="1" ref="M11" ca="1">INDIRECT($W11&amp;AC11)*($G11/$D11)</f>
        <v>3.2722752377297E-2</v>
      </c>
      <c r="N11" s="393" t="s">
        <v>52</v>
      </c>
      <c r="O11" s="50" t="s">
        <v>52</v>
      </c>
      <c r="P11" s="50" t="s">
        <v>52</v>
      </c>
      <c r="Q11" s="50" t="s">
        <v>52</v>
      </c>
      <c r="R11" s="50" t="s">
        <v>52</v>
      </c>
      <c r="S11" s="51" t="s">
        <v>52</v>
      </c>
      <c r="T11" s="315"/>
      <c r="W11" s="2" t="str">
        <f t="shared" ref="W11:W34" si="0">_xlfn.CONCAT("'Roads BAE ",RIGHT(B11,2),"'!")</f>
        <v>'Roads BAE 19'!</v>
      </c>
      <c r="X11" s="2" t="s">
        <v>316</v>
      </c>
      <c r="Y11" s="2" t="s">
        <v>317</v>
      </c>
      <c r="Z11" s="2" t="s">
        <v>318</v>
      </c>
      <c r="AA11" s="2" t="s">
        <v>319</v>
      </c>
      <c r="AB11" s="2" t="s">
        <v>320</v>
      </c>
      <c r="AC11" s="2" t="s">
        <v>321</v>
      </c>
    </row>
    <row r="12" spans="2:29" ht="13.5">
      <c r="B12" s="47">
        <v>2020</v>
      </c>
      <c r="C12" s="48" t="s">
        <v>281</v>
      </c>
      <c r="D12" s="49">
        <f>'8b. Baseline Emissions_Other'!D22</f>
        <v>484330</v>
      </c>
      <c r="E12" s="49">
        <f>'8b. Baseline Emissions_Other'!E22</f>
        <v>111834</v>
      </c>
      <c r="F12" s="49">
        <f>'8b. Baseline Emissions_Other'!F22</f>
        <v>80628</v>
      </c>
      <c r="G12" s="49">
        <f>'8b. Baseline Emissions_Other'!G22</f>
        <v>42557.336005062221</v>
      </c>
      <c r="H12" s="50" cm="1">
        <f t="array" aca="1" ref="H12" ca="1">INDIRECT($W12&amp;X12)*($G12/$D12)</f>
        <v>4.7874845026243097E-2</v>
      </c>
      <c r="I12" s="50" cm="1">
        <f t="array" aca="1" ref="I12" ca="1">INDIRECT($W12&amp;Y12)*($G12/$D12)</f>
        <v>1.2854091157413359</v>
      </c>
      <c r="J12" s="50" cm="1">
        <f t="array" aca="1" ref="J12" ca="1">INDIRECT($W12&amp;Z12)*($G12/$D12)</f>
        <v>9.5749690052486201E-3</v>
      </c>
      <c r="K12" s="50" cm="1">
        <f t="array" aca="1" ref="K12" ca="1">INDIRECT($W12&amp;AA12)*($G12/$D12)</f>
        <v>0.3341607824777571</v>
      </c>
      <c r="L12" s="50" cm="1">
        <f t="array" aca="1" ref="L12" ca="1">INDIRECT($W12&amp;AB12)*($G12/$D12)</f>
        <v>2.3502196649246611E-3</v>
      </c>
      <c r="M12" s="51" cm="1">
        <f t="array" aca="1" ref="M12" ca="1">INDIRECT($W12&amp;AC12)*($G12/$D12)</f>
        <v>3.3416078247775712E-2</v>
      </c>
      <c r="N12" s="50" t="s">
        <v>52</v>
      </c>
      <c r="O12" s="50" t="s">
        <v>52</v>
      </c>
      <c r="P12" s="50" t="s">
        <v>52</v>
      </c>
      <c r="Q12" s="50" t="s">
        <v>52</v>
      </c>
      <c r="R12" s="50" t="s">
        <v>52</v>
      </c>
      <c r="S12" s="51" t="s">
        <v>52</v>
      </c>
      <c r="T12" s="315"/>
      <c r="W12" s="2" t="str">
        <f t="shared" si="0"/>
        <v>'Roads BAE 20'!</v>
      </c>
      <c r="X12" s="2" t="s">
        <v>316</v>
      </c>
      <c r="Y12" s="2" t="s">
        <v>317</v>
      </c>
      <c r="Z12" s="2" t="s">
        <v>318</v>
      </c>
      <c r="AA12" s="2" t="s">
        <v>319</v>
      </c>
      <c r="AB12" s="2" t="s">
        <v>320</v>
      </c>
      <c r="AC12" s="2" t="s">
        <v>321</v>
      </c>
    </row>
    <row r="13" spans="2:29" ht="13.5">
      <c r="B13" s="47">
        <v>2020</v>
      </c>
      <c r="C13" s="48" t="s">
        <v>282</v>
      </c>
      <c r="D13" s="49">
        <f>'8b. Baseline Emissions_Other'!D23</f>
        <v>484330</v>
      </c>
      <c r="E13" s="49">
        <f>'8b. Baseline Emissions_Other'!E23</f>
        <v>110357</v>
      </c>
      <c r="F13" s="49">
        <f>'8b. Baseline Emissions_Other'!F23</f>
        <v>85644</v>
      </c>
      <c r="G13" s="49">
        <f>'8b. Baseline Emissions_Other'!G23</f>
        <v>43339.882233002885</v>
      </c>
      <c r="H13" s="50" cm="1">
        <f t="array" aca="1" ref="H13" ca="1">INDIRECT($W13&amp;X13)*($G13/$D13)</f>
        <v>4.8755169851652139E-2</v>
      </c>
      <c r="I13" s="50" cm="1">
        <f t="array" aca="1" ref="I13" ca="1">INDIRECT($W13&amp;Y13)*($G13/$D13)</f>
        <v>1.3090452769607381</v>
      </c>
      <c r="J13" s="50" cm="1">
        <f t="array" aca="1" ref="J13" ca="1">INDIRECT($W13&amp;Z13)*($G13/$D13)</f>
        <v>9.7510339703304298E-3</v>
      </c>
      <c r="K13" s="50" cm="1">
        <f t="array" aca="1" ref="K13" ca="1">INDIRECT($W13&amp;AA13)*($G13/$D13)</f>
        <v>0.34030534612766611</v>
      </c>
      <c r="L13" s="50" cm="1">
        <f t="array" aca="1" ref="L13" ca="1">INDIRECT($W13&amp;AB13)*($G13/$D13)</f>
        <v>2.3934356108992866E-3</v>
      </c>
      <c r="M13" s="51" cm="1">
        <f t="array" aca="1" ref="M13" ca="1">INDIRECT($W13&amp;AC13)*($G13/$D13)</f>
        <v>3.4030534612766616E-2</v>
      </c>
      <c r="N13" s="50" t="s">
        <v>52</v>
      </c>
      <c r="O13" s="50" t="s">
        <v>52</v>
      </c>
      <c r="P13" s="50" t="s">
        <v>52</v>
      </c>
      <c r="Q13" s="50" t="s">
        <v>52</v>
      </c>
      <c r="R13" s="50" t="s">
        <v>52</v>
      </c>
      <c r="S13" s="51" t="s">
        <v>52</v>
      </c>
      <c r="T13" s="315"/>
      <c r="W13" s="2" t="str">
        <f t="shared" si="0"/>
        <v>'Roads BAE 20'!</v>
      </c>
      <c r="X13" s="2" t="s">
        <v>316</v>
      </c>
      <c r="Y13" s="2" t="s">
        <v>317</v>
      </c>
      <c r="Z13" s="2" t="s">
        <v>318</v>
      </c>
      <c r="AA13" s="2" t="s">
        <v>319</v>
      </c>
      <c r="AB13" s="2" t="s">
        <v>320</v>
      </c>
      <c r="AC13" s="2" t="s">
        <v>321</v>
      </c>
    </row>
    <row r="14" spans="2:29" ht="13.5">
      <c r="B14" s="47">
        <v>2020</v>
      </c>
      <c r="C14" s="48" t="s">
        <v>283</v>
      </c>
      <c r="D14" s="49">
        <f>'8b. Baseline Emissions_Other'!D24</f>
        <v>484330</v>
      </c>
      <c r="E14" s="49">
        <f>'8b. Baseline Emissions_Other'!E24</f>
        <v>109251</v>
      </c>
      <c r="F14" s="49">
        <f>'8b. Baseline Emissions_Other'!F24</f>
        <v>87528</v>
      </c>
      <c r="G14" s="49">
        <f>'8b. Baseline Emissions_Other'!G24</f>
        <v>43511.914153132253</v>
      </c>
      <c r="H14" s="50" cm="1">
        <f t="array" aca="1" ref="H14" ca="1">INDIRECT($W14&amp;X14)*($G14/$D14)</f>
        <v>4.8948697038475597E-2</v>
      </c>
      <c r="I14" s="50" cm="1">
        <f t="array" aca="1" ref="I14" ca="1">INDIRECT($W14&amp;Y14)*($G14/$D14)</f>
        <v>1.314241358743359</v>
      </c>
      <c r="J14" s="50" cm="1">
        <f t="array" aca="1" ref="J14" ca="1">INDIRECT($W14&amp;Z14)*($G14/$D14)</f>
        <v>9.7897394076951229E-3</v>
      </c>
      <c r="K14" s="50" cm="1">
        <f t="array" aca="1" ref="K14" ca="1">INDIRECT($W14&amp;AA14)*($G14/$D14)</f>
        <v>0.34165614310975972</v>
      </c>
      <c r="L14" s="50" cm="1">
        <f t="array" aca="1" ref="L14" ca="1">INDIRECT($W14&amp;AB14)*($G14/$D14)</f>
        <v>2.4029360364342567E-3</v>
      </c>
      <c r="M14" s="51" cm="1">
        <f t="array" aca="1" ref="M14" ca="1">INDIRECT($W14&amp;AC14)*($G14/$D14)</f>
        <v>3.4165614310975971E-2</v>
      </c>
      <c r="N14" s="50" t="s">
        <v>52</v>
      </c>
      <c r="O14" s="50" t="s">
        <v>52</v>
      </c>
      <c r="P14" s="50" t="s">
        <v>52</v>
      </c>
      <c r="Q14" s="50" t="s">
        <v>52</v>
      </c>
      <c r="R14" s="50" t="s">
        <v>52</v>
      </c>
      <c r="S14" s="51" t="s">
        <v>52</v>
      </c>
      <c r="T14" s="315"/>
      <c r="W14" s="2" t="str">
        <f t="shared" si="0"/>
        <v>'Roads BAE 20'!</v>
      </c>
      <c r="X14" s="2" t="s">
        <v>316</v>
      </c>
      <c r="Y14" s="2" t="s">
        <v>317</v>
      </c>
      <c r="Z14" s="2" t="s">
        <v>318</v>
      </c>
      <c r="AA14" s="2" t="s">
        <v>319</v>
      </c>
      <c r="AB14" s="2" t="s">
        <v>320</v>
      </c>
      <c r="AC14" s="2" t="s">
        <v>321</v>
      </c>
    </row>
    <row r="15" spans="2:29" ht="13.5">
      <c r="B15" s="47">
        <v>2020</v>
      </c>
      <c r="C15" s="48" t="s">
        <v>284</v>
      </c>
      <c r="D15" s="49">
        <f>'8b. Baseline Emissions_Other'!D25</f>
        <v>484330</v>
      </c>
      <c r="E15" s="49">
        <f>'8b. Baseline Emissions_Other'!E25</f>
        <v>72706</v>
      </c>
      <c r="F15" s="49">
        <f>'8b. Baseline Emissions_Other'!F25</f>
        <v>58457</v>
      </c>
      <c r="G15" s="49">
        <f>'8b. Baseline Emissions_Other'!G25</f>
        <v>29002.856992195739</v>
      </c>
      <c r="H15" s="50" cm="1">
        <f t="array" aca="1" ref="H15" ca="1">INDIRECT($W15&amp;X15)*($G15/$D15)</f>
        <v>3.2626743451575499E-2</v>
      </c>
      <c r="I15" s="50" cm="1">
        <f t="array" aca="1" ref="I15" ca="1">INDIRECT($W15&amp;Y15)*($G15/$D15)</f>
        <v>0.876007294156669</v>
      </c>
      <c r="J15" s="50" cm="1">
        <f t="array" aca="1" ref="J15" ca="1">INDIRECT($W15&amp;Z15)*($G15/$D15)</f>
        <v>6.5253486903151005E-3</v>
      </c>
      <c r="K15" s="50" cm="1">
        <f t="array" aca="1" ref="K15" ca="1">INDIRECT($W15&amp;AA15)*($G15/$D15)</f>
        <v>0.22773082848629889</v>
      </c>
      <c r="L15" s="50" cm="1">
        <f t="array" aca="1" ref="L15" ca="1">INDIRECT($W15&amp;AB15)*($G15/$D15)</f>
        <v>1.6016764967137062E-3</v>
      </c>
      <c r="M15" s="51" cm="1">
        <f t="array" aca="1" ref="M15" ca="1">INDIRECT($W15&amp;AC15)*($G15/$D15)</f>
        <v>2.2773082848629889E-2</v>
      </c>
      <c r="N15" s="50" t="s">
        <v>52</v>
      </c>
      <c r="O15" s="50" t="s">
        <v>52</v>
      </c>
      <c r="P15" s="50" t="s">
        <v>52</v>
      </c>
      <c r="Q15" s="50" t="s">
        <v>52</v>
      </c>
      <c r="R15" s="50" t="s">
        <v>52</v>
      </c>
      <c r="S15" s="51" t="s">
        <v>52</v>
      </c>
      <c r="T15" s="315"/>
      <c r="W15" s="2" t="str">
        <f t="shared" si="0"/>
        <v>'Roads BAE 20'!</v>
      </c>
      <c r="X15" s="2" t="s">
        <v>316</v>
      </c>
      <c r="Y15" s="2" t="s">
        <v>317</v>
      </c>
      <c r="Z15" s="2" t="s">
        <v>318</v>
      </c>
      <c r="AA15" s="2" t="s">
        <v>319</v>
      </c>
      <c r="AB15" s="2" t="s">
        <v>320</v>
      </c>
      <c r="AC15" s="2" t="s">
        <v>321</v>
      </c>
    </row>
    <row r="16" spans="2:29" ht="13.5">
      <c r="B16" s="47">
        <v>2020</v>
      </c>
      <c r="C16" s="48" t="s">
        <v>285</v>
      </c>
      <c r="D16" s="49">
        <f>'8b. Baseline Emissions_Other'!D26</f>
        <v>484330</v>
      </c>
      <c r="E16" s="49">
        <f>'8b. Baseline Emissions_Other'!E26</f>
        <v>0</v>
      </c>
      <c r="F16" s="49">
        <f>'8b. Baseline Emissions_Other'!F26</f>
        <v>78059</v>
      </c>
      <c r="G16" s="49">
        <f>'8b. Baseline Emissions_Other'!G26</f>
        <v>17260.462279406594</v>
      </c>
      <c r="H16" s="50" cm="1">
        <f t="array" aca="1" ref="H16" ca="1">INDIRECT($W16&amp;X16)*($G16/$D16)</f>
        <v>1.9417144828088193E-2</v>
      </c>
      <c r="I16" s="50" cm="1">
        <f t="array" aca="1" ref="I16" ca="1">INDIRECT($W16&amp;Y16)*($G16/$D16)</f>
        <v>0.52133797926683156</v>
      </c>
      <c r="J16" s="50" cm="1">
        <f t="array" aca="1" ref="J16" ca="1">INDIRECT($W16&amp;Z16)*($G16/$D16)</f>
        <v>3.8834289656176396E-3</v>
      </c>
      <c r="K16" s="50" cm="1">
        <f t="array" aca="1" ref="K16" ca="1">INDIRECT($W16&amp;AA16)*($G16/$D16)</f>
        <v>0.13552938512242024</v>
      </c>
      <c r="L16" s="50" cm="1">
        <f t="array" aca="1" ref="L16" ca="1">INDIRECT($W16&amp;AB16)*($G16/$D16)</f>
        <v>9.5320529156069306E-4</v>
      </c>
      <c r="M16" s="51" cm="1">
        <f t="array" aca="1" ref="M16" ca="1">INDIRECT($W16&amp;AC16)*($G16/$D16)</f>
        <v>1.3552938512242024E-2</v>
      </c>
      <c r="N16" s="50" t="s">
        <v>52</v>
      </c>
      <c r="O16" s="50" t="s">
        <v>52</v>
      </c>
      <c r="P16" s="50" t="s">
        <v>52</v>
      </c>
      <c r="Q16" s="50" t="s">
        <v>52</v>
      </c>
      <c r="R16" s="50" t="s">
        <v>52</v>
      </c>
      <c r="S16" s="51" t="s">
        <v>52</v>
      </c>
      <c r="T16" s="315"/>
      <c r="W16" s="2" t="str">
        <f t="shared" si="0"/>
        <v>'Roads BAE 20'!</v>
      </c>
      <c r="X16" s="2" t="s">
        <v>316</v>
      </c>
      <c r="Y16" s="2" t="s">
        <v>317</v>
      </c>
      <c r="Z16" s="2" t="s">
        <v>318</v>
      </c>
      <c r="AA16" s="2" t="s">
        <v>319</v>
      </c>
      <c r="AB16" s="2" t="s">
        <v>320</v>
      </c>
      <c r="AC16" s="2" t="s">
        <v>321</v>
      </c>
    </row>
    <row r="17" spans="2:29" ht="13.5">
      <c r="B17" s="47">
        <v>2020</v>
      </c>
      <c r="C17" s="48" t="s">
        <v>286</v>
      </c>
      <c r="D17" s="49">
        <f>'8b. Baseline Emissions_Other'!D27</f>
        <v>484330</v>
      </c>
      <c r="E17" s="49">
        <f>'8b. Baseline Emissions_Other'!E27</f>
        <v>90315</v>
      </c>
      <c r="F17" s="49">
        <f>'8b. Baseline Emissions_Other'!F27</f>
        <v>77659</v>
      </c>
      <c r="G17" s="49">
        <f>'8b. Baseline Emissions_Other'!G27</f>
        <v>37142.531814666385</v>
      </c>
      <c r="H17" s="50" cm="1">
        <f t="array" aca="1" ref="H17" ca="1">INDIRECT($W17&amp;X17)*($G17/$D17)</f>
        <v>4.178346488365578E-2</v>
      </c>
      <c r="I17" s="50" cm="1">
        <f t="array" aca="1" ref="I17" ca="1">INDIRECT($W17&amp;Y17)*($G17/$D17)</f>
        <v>1.121859436187586</v>
      </c>
      <c r="J17" s="50" cm="1">
        <f t="array" aca="1" ref="J17" ca="1">INDIRECT($W17&amp;Z17)*($G17/$D17)</f>
        <v>8.3566929767311584E-3</v>
      </c>
      <c r="K17" s="50" cm="1">
        <f t="array" aca="1" ref="K17" ca="1">INDIRECT($W17&amp;AA17)*($G17/$D17)</f>
        <v>0.29164366615705323</v>
      </c>
      <c r="L17" s="50" cm="1">
        <f t="array" aca="1" ref="L17" ca="1">INDIRECT($W17&amp;AB17)*($G17/$D17)</f>
        <v>2.0511882761067384E-3</v>
      </c>
      <c r="M17" s="51" cm="1">
        <f t="array" aca="1" ref="M17" ca="1">INDIRECT($W17&amp;AC17)*($G17/$D17)</f>
        <v>2.9164366615705324E-2</v>
      </c>
      <c r="N17" s="50" t="s">
        <v>52</v>
      </c>
      <c r="O17" s="50" t="s">
        <v>52</v>
      </c>
      <c r="P17" s="50" t="s">
        <v>52</v>
      </c>
      <c r="Q17" s="50" t="s">
        <v>52</v>
      </c>
      <c r="R17" s="50" t="s">
        <v>52</v>
      </c>
      <c r="S17" s="51" t="s">
        <v>52</v>
      </c>
      <c r="T17" s="315"/>
      <c r="W17" s="2" t="str">
        <f t="shared" si="0"/>
        <v>'Roads BAE 20'!</v>
      </c>
      <c r="X17" s="2" t="s">
        <v>316</v>
      </c>
      <c r="Y17" s="2" t="s">
        <v>317</v>
      </c>
      <c r="Z17" s="2" t="s">
        <v>318</v>
      </c>
      <c r="AA17" s="2" t="s">
        <v>319</v>
      </c>
      <c r="AB17" s="2" t="s">
        <v>320</v>
      </c>
      <c r="AC17" s="2" t="s">
        <v>321</v>
      </c>
    </row>
    <row r="18" spans="2:29" ht="13.5">
      <c r="B18" s="47">
        <v>2020</v>
      </c>
      <c r="C18" s="48" t="s">
        <v>287</v>
      </c>
      <c r="D18" s="49">
        <f>'8b. Baseline Emissions_Other'!D28</f>
        <v>484330</v>
      </c>
      <c r="E18" s="49">
        <f>'8b. Baseline Emissions_Other'!E28</f>
        <v>101452</v>
      </c>
      <c r="F18" s="49">
        <f>'8b. Baseline Emissions_Other'!F28</f>
        <v>92613</v>
      </c>
      <c r="G18" s="49">
        <f>'8b. Baseline Emissions_Other'!G28</f>
        <v>42911.792519159106</v>
      </c>
      <c r="H18" s="50" cm="1">
        <f t="array" aca="1" ref="H18" ca="1">INDIRECT($W18&amp;X18)*($G18/$D18)</f>
        <v>4.8273590630970614E-2</v>
      </c>
      <c r="I18" s="50" cm="1">
        <f t="array" aca="1" ref="I18" ca="1">INDIRECT($W18&amp;Y18)*($G18/$D18)</f>
        <v>1.2961151814194094</v>
      </c>
      <c r="J18" s="50" cm="1">
        <f t="array" aca="1" ref="J18" ca="1">INDIRECT($W18&amp;Z18)*($G18/$D18)</f>
        <v>9.654718126194126E-3</v>
      </c>
      <c r="K18" s="50" cm="1">
        <f t="array" aca="1" ref="K18" ca="1">INDIRECT($W18&amp;AA18)*($G18/$D18)</f>
        <v>0.33694397985860031</v>
      </c>
      <c r="L18" s="50" cm="1">
        <f t="array" aca="1" ref="L18" ca="1">INDIRECT($W18&amp;AB18)*($G18/$D18)</f>
        <v>2.3697944491567393E-3</v>
      </c>
      <c r="M18" s="51" cm="1">
        <f t="array" aca="1" ref="M18" ca="1">INDIRECT($W18&amp;AC18)*($G18/$D18)</f>
        <v>3.3694397985860033E-2</v>
      </c>
      <c r="N18" s="50" t="s">
        <v>52</v>
      </c>
      <c r="O18" s="50" t="s">
        <v>52</v>
      </c>
      <c r="P18" s="50" t="s">
        <v>52</v>
      </c>
      <c r="Q18" s="50" t="s">
        <v>52</v>
      </c>
      <c r="R18" s="50" t="s">
        <v>52</v>
      </c>
      <c r="S18" s="51" t="s">
        <v>52</v>
      </c>
      <c r="T18" s="315"/>
      <c r="W18" s="2" t="str">
        <f t="shared" si="0"/>
        <v>'Roads BAE 20'!</v>
      </c>
      <c r="X18" s="2" t="s">
        <v>316</v>
      </c>
      <c r="Y18" s="2" t="s">
        <v>317</v>
      </c>
      <c r="Z18" s="2" t="s">
        <v>318</v>
      </c>
      <c r="AA18" s="2" t="s">
        <v>319</v>
      </c>
      <c r="AB18" s="2" t="s">
        <v>320</v>
      </c>
      <c r="AC18" s="2" t="s">
        <v>321</v>
      </c>
    </row>
    <row r="19" spans="2:29" ht="13.5">
      <c r="B19" s="47">
        <v>2020</v>
      </c>
      <c r="C19" s="48" t="s">
        <v>288</v>
      </c>
      <c r="D19" s="62">
        <f>'8b. Baseline Emissions_Other'!D29</f>
        <v>484330</v>
      </c>
      <c r="E19" s="49">
        <f>'8b. Baseline Emissions_Other'!E29</f>
        <v>103117</v>
      </c>
      <c r="F19" s="62">
        <f>'8b. Baseline Emissions_Other'!F29</f>
        <v>94780</v>
      </c>
      <c r="G19" s="49">
        <f>'8b. Baseline Emissions_Other'!G29</f>
        <v>43759.127118048229</v>
      </c>
      <c r="H19" s="62" cm="1">
        <f t="array" aca="1" ref="H19" ca="1">INDIRECT($W19&amp;X19)*($G19/$D19)</f>
        <v>4.9226799088435275E-2</v>
      </c>
      <c r="I19" s="50" cm="1">
        <f t="array" aca="1" ref="I19" ca="1">INDIRECT($W19&amp;Y19)*($G19/$D19)</f>
        <v>1.3217082217677421</v>
      </c>
      <c r="J19" s="62" cm="1">
        <f t="array" aca="1" ref="J19" ca="1">INDIRECT($W19&amp;Z19)*($G19/$D19)</f>
        <v>9.8453598176870567E-3</v>
      </c>
      <c r="K19" s="50" cm="1">
        <f t="array" aca="1" ref="K19" ca="1">INDIRECT($W19&amp;AA19)*($G19/$D19)</f>
        <v>0.34359726268042889</v>
      </c>
      <c r="L19" s="62" cm="1">
        <f t="array" aca="1" ref="L19" ca="1">INDIRECT($W19&amp;AB19)*($G19/$D19)</f>
        <v>2.4165883188868227E-3</v>
      </c>
      <c r="M19" s="51" cm="1">
        <f t="array" aca="1" ref="M19" ca="1">INDIRECT($W19&amp;AC19)*($G19/$D19)</f>
        <v>3.4359726268042887E-2</v>
      </c>
      <c r="N19" s="62" t="s">
        <v>52</v>
      </c>
      <c r="O19" s="50" t="s">
        <v>52</v>
      </c>
      <c r="P19" s="62" t="s">
        <v>52</v>
      </c>
      <c r="Q19" s="50" t="s">
        <v>52</v>
      </c>
      <c r="R19" s="50" t="s">
        <v>52</v>
      </c>
      <c r="S19" s="51" t="s">
        <v>52</v>
      </c>
      <c r="T19" s="32"/>
      <c r="W19" s="2" t="str">
        <f t="shared" si="0"/>
        <v>'Roads BAE 20'!</v>
      </c>
      <c r="X19" s="2" t="s">
        <v>316</v>
      </c>
      <c r="Y19" s="2" t="s">
        <v>317</v>
      </c>
      <c r="Z19" s="2" t="s">
        <v>318</v>
      </c>
      <c r="AA19" s="2" t="s">
        <v>319</v>
      </c>
      <c r="AB19" s="2" t="s">
        <v>320</v>
      </c>
      <c r="AC19" s="2" t="s">
        <v>321</v>
      </c>
    </row>
    <row r="20" spans="2:29" ht="13.5">
      <c r="B20" s="47">
        <v>2020</v>
      </c>
      <c r="C20" s="48" t="s">
        <v>289</v>
      </c>
      <c r="D20" s="49">
        <f>'8b. Baseline Emissions_Other'!D30</f>
        <v>484330</v>
      </c>
      <c r="E20" s="49">
        <f>'8b. Baseline Emissions_Other'!E30</f>
        <v>121107</v>
      </c>
      <c r="F20" s="49">
        <f>'8b. Baseline Emissions_Other'!F30</f>
        <v>75934</v>
      </c>
      <c r="G20" s="49">
        <f>'8b. Baseline Emissions_Other'!G30</f>
        <v>43569.847781761935</v>
      </c>
      <c r="H20" s="50" cm="1">
        <f t="array" aca="1" ref="H20" ca="1">INDIRECT($W20&amp;X20)*($G20/$D20)</f>
        <v>4.9013869433009977E-2</v>
      </c>
      <c r="I20" s="50" cm="1">
        <f t="array" aca="1" ref="I20" ca="1">INDIRECT($W20&amp;Y20)*($G20/$D20)</f>
        <v>1.3159911960531874</v>
      </c>
      <c r="J20" s="50" cm="1">
        <f t="array" aca="1" ref="J20" ca="1">INDIRECT($W20&amp;Z20)*($G20/$D20)</f>
        <v>9.8027738866019974E-3</v>
      </c>
      <c r="K20" s="50" cm="1">
        <f t="array" aca="1" ref="K20" ca="1">INDIRECT($W20&amp;AA20)*($G20/$D20)</f>
        <v>0.34211103875154442</v>
      </c>
      <c r="L20" s="50" cm="1">
        <f t="array" aca="1" ref="L20" ca="1">INDIRECT($W20&amp;AB20)*($G20/$D20)</f>
        <v>2.4061354085295806E-3</v>
      </c>
      <c r="M20" s="51" cm="1">
        <f t="array" aca="1" ref="M20" ca="1">INDIRECT($W20&amp;AC20)*($G20/$D20)</f>
        <v>3.4211103875154442E-2</v>
      </c>
      <c r="N20" s="50" t="s">
        <v>52</v>
      </c>
      <c r="O20" s="50" t="s">
        <v>52</v>
      </c>
      <c r="P20" s="50" t="s">
        <v>52</v>
      </c>
      <c r="Q20" s="50" t="s">
        <v>52</v>
      </c>
      <c r="R20" s="50" t="s">
        <v>52</v>
      </c>
      <c r="S20" s="51" t="s">
        <v>52</v>
      </c>
      <c r="T20" s="315"/>
      <c r="W20" s="2" t="str">
        <f t="shared" si="0"/>
        <v>'Roads BAE 20'!</v>
      </c>
      <c r="X20" s="2" t="s">
        <v>316</v>
      </c>
      <c r="Y20" s="2" t="s">
        <v>317</v>
      </c>
      <c r="Z20" s="2" t="s">
        <v>318</v>
      </c>
      <c r="AA20" s="2" t="s">
        <v>319</v>
      </c>
      <c r="AB20" s="2" t="s">
        <v>320</v>
      </c>
      <c r="AC20" s="2" t="s">
        <v>321</v>
      </c>
    </row>
    <row r="21" spans="2:29" ht="13.5">
      <c r="B21" s="47">
        <v>2020</v>
      </c>
      <c r="C21" s="48" t="s">
        <v>290</v>
      </c>
      <c r="D21" s="49">
        <f>'8b. Baseline Emissions_Other'!D31</f>
        <v>484330</v>
      </c>
      <c r="E21" s="49">
        <f>'8b. Baseline Emissions_Other'!E31</f>
        <v>119188</v>
      </c>
      <c r="F21" s="49">
        <f>'8b. Baseline Emissions_Other'!F31</f>
        <v>92147</v>
      </c>
      <c r="G21" s="49">
        <f>'8b. Baseline Emissions_Other'!G31</f>
        <v>46730.547352879141</v>
      </c>
      <c r="H21" s="50" cm="1">
        <f t="array" aca="1" ref="H21" ca="1">INDIRECT($W21&amp;X21)*($G21/$D21)</f>
        <v>5.2569496179095537E-2</v>
      </c>
      <c r="I21" s="50" cm="1">
        <f t="array" aca="1" ref="I21" ca="1">INDIRECT($W21&amp;Y21)*($G21/$D21)</f>
        <v>1.4114575109642176</v>
      </c>
      <c r="J21" s="50" cm="1">
        <f t="array" aca="1" ref="J21" ca="1">INDIRECT($W21&amp;Z21)*($G21/$D21)</f>
        <v>1.0513899235819109E-2</v>
      </c>
      <c r="K21" s="50" cm="1">
        <f t="array" aca="1" ref="K21" ca="1">INDIRECT($W21&amp;AA21)*($G21/$D21)</f>
        <v>0.36692889487242575</v>
      </c>
      <c r="L21" s="50" cm="1">
        <f t="array" aca="1" ref="L21" ca="1">INDIRECT($W21&amp;AB21)*($G21/$D21)</f>
        <v>2.580684357882872E-3</v>
      </c>
      <c r="M21" s="51" cm="1">
        <f t="array" aca="1" ref="M21" ca="1">INDIRECT($W21&amp;AC21)*($G21/$D21)</f>
        <v>3.6692889487242579E-2</v>
      </c>
      <c r="N21" s="50" t="s">
        <v>52</v>
      </c>
      <c r="O21" s="50" t="s">
        <v>52</v>
      </c>
      <c r="P21" s="50" t="s">
        <v>52</v>
      </c>
      <c r="Q21" s="50" t="s">
        <v>52</v>
      </c>
      <c r="R21" s="50" t="s">
        <v>52</v>
      </c>
      <c r="S21" s="51" t="s">
        <v>52</v>
      </c>
      <c r="T21" s="315"/>
      <c r="W21" s="2" t="str">
        <f t="shared" si="0"/>
        <v>'Roads BAE 20'!</v>
      </c>
      <c r="X21" s="2" t="s">
        <v>316</v>
      </c>
      <c r="Y21" s="2" t="s">
        <v>317</v>
      </c>
      <c r="Z21" s="2" t="s">
        <v>318</v>
      </c>
      <c r="AA21" s="2" t="s">
        <v>319</v>
      </c>
      <c r="AB21" s="2" t="s">
        <v>320</v>
      </c>
      <c r="AC21" s="2" t="s">
        <v>321</v>
      </c>
    </row>
    <row r="22" spans="2:29" ht="13.5">
      <c r="B22" s="47">
        <v>2020</v>
      </c>
      <c r="C22" s="48" t="s">
        <v>291</v>
      </c>
      <c r="D22" s="49">
        <f>'8b. Baseline Emissions_Other'!D32</f>
        <v>484330</v>
      </c>
      <c r="E22" s="49">
        <f>'8b. Baseline Emissions_Other'!E32</f>
        <v>118181</v>
      </c>
      <c r="F22" s="49">
        <f>'8b. Baseline Emissions_Other'!F32</f>
        <v>90585</v>
      </c>
      <c r="G22" s="49">
        <f>'8b. Baseline Emissions_Other'!G32</f>
        <v>46162.488223300286</v>
      </c>
      <c r="H22" s="50" cm="1">
        <f t="array" aca="1" ref="H22" ca="1">INDIRECT($W22&amp;X22)*($G22/$D22)</f>
        <v>5.1930458463222175E-2</v>
      </c>
      <c r="I22" s="50" cm="1">
        <f t="array" aca="1" ref="I22" ca="1">INDIRECT($W22&amp;Y22)*($G22/$D22)</f>
        <v>1.3942997550521958</v>
      </c>
      <c r="J22" s="50" cm="1">
        <f t="array" aca="1" ref="J22" ca="1">INDIRECT($W22&amp;Z22)*($G22/$D22)</f>
        <v>1.0386091692644437E-2</v>
      </c>
      <c r="K22" s="50" cm="1">
        <f t="array" aca="1" ref="K22" ca="1">INDIRECT($W22&amp;AA22)*($G22/$D22)</f>
        <v>0.36246848684286476</v>
      </c>
      <c r="L22" s="50" cm="1">
        <f t="array" aca="1" ref="L22" ca="1">INDIRECT($W22&amp;AB22)*($G22/$D22)</f>
        <v>2.5493134154672701E-3</v>
      </c>
      <c r="M22" s="51" cm="1">
        <f t="array" aca="1" ref="M22" ca="1">INDIRECT($W22&amp;AC22)*($G22/$D22)</f>
        <v>3.624684868428648E-2</v>
      </c>
      <c r="N22" s="50" t="s">
        <v>52</v>
      </c>
      <c r="O22" s="50" t="s">
        <v>52</v>
      </c>
      <c r="P22" s="50" t="s">
        <v>52</v>
      </c>
      <c r="Q22" s="50" t="s">
        <v>52</v>
      </c>
      <c r="R22" s="50" t="s">
        <v>52</v>
      </c>
      <c r="S22" s="51" t="s">
        <v>52</v>
      </c>
      <c r="T22" s="315"/>
      <c r="W22" s="2" t="str">
        <f t="shared" si="0"/>
        <v>'Roads BAE 20'!</v>
      </c>
      <c r="X22" s="2" t="s">
        <v>316</v>
      </c>
      <c r="Y22" s="2" t="s">
        <v>317</v>
      </c>
      <c r="Z22" s="2" t="s">
        <v>318</v>
      </c>
      <c r="AA22" s="2" t="s">
        <v>319</v>
      </c>
      <c r="AB22" s="2" t="s">
        <v>320</v>
      </c>
      <c r="AC22" s="2" t="s">
        <v>321</v>
      </c>
    </row>
    <row r="23" spans="2:29" ht="13.5">
      <c r="B23" s="47">
        <v>2020</v>
      </c>
      <c r="C23" s="48" t="s">
        <v>292</v>
      </c>
      <c r="D23" s="49">
        <f>'8b. Baseline Emissions_Other'!D33</f>
        <v>484330</v>
      </c>
      <c r="E23" s="49">
        <f>'8b. Baseline Emissions_Other'!E33</f>
        <v>123515</v>
      </c>
      <c r="F23" s="49">
        <f>'8b. Baseline Emissions_Other'!F33</f>
        <v>95285</v>
      </c>
      <c r="G23" s="49">
        <f>'8b. Baseline Emissions_Other'!G33</f>
        <v>48381.213527385218</v>
      </c>
      <c r="H23" s="50" cm="1">
        <f t="array" aca="1" ref="H23" ca="1">INDIRECT($W23&amp;X23)*($G23/$D23)</f>
        <v>5.4426411924130426E-2</v>
      </c>
      <c r="I23" s="50" cm="1">
        <f t="array" aca="1" ref="I23" ca="1">INDIRECT($W23&amp;Y23)*($G23/$D23)</f>
        <v>1.461314516757616</v>
      </c>
      <c r="J23" s="50" cm="1">
        <f t="array" aca="1" ref="J23" ca="1">INDIRECT($W23&amp;Z23)*($G23/$D23)</f>
        <v>1.0885282384826087E-2</v>
      </c>
      <c r="K23" s="50" cm="1">
        <f t="array" aca="1" ref="K23" ca="1">INDIRECT($W23&amp;AA23)*($G23/$D23)</f>
        <v>0.37988994817747535</v>
      </c>
      <c r="L23" s="50" cm="1">
        <f t="array" aca="1" ref="L23" ca="1">INDIRECT($W23&amp;AB23)*($G23/$D23)</f>
        <v>2.671842039911857E-3</v>
      </c>
      <c r="M23" s="51" cm="1">
        <f t="array" aca="1" ref="M23" ca="1">INDIRECT($W23&amp;AC23)*($G23/$D23)</f>
        <v>3.7988994817747535E-2</v>
      </c>
      <c r="N23" s="50" t="s">
        <v>52</v>
      </c>
      <c r="O23" s="50" t="s">
        <v>52</v>
      </c>
      <c r="P23" s="50" t="s">
        <v>52</v>
      </c>
      <c r="Q23" s="50" t="s">
        <v>52</v>
      </c>
      <c r="R23" s="50" t="s">
        <v>52</v>
      </c>
      <c r="S23" s="51" t="s">
        <v>52</v>
      </c>
      <c r="T23" s="315"/>
      <c r="W23" s="2" t="str">
        <f t="shared" si="0"/>
        <v>'Roads BAE 20'!</v>
      </c>
      <c r="X23" s="2" t="s">
        <v>316</v>
      </c>
      <c r="Y23" s="2" t="s">
        <v>317</v>
      </c>
      <c r="Z23" s="2" t="s">
        <v>318</v>
      </c>
      <c r="AA23" s="2" t="s">
        <v>319</v>
      </c>
      <c r="AB23" s="2" t="s">
        <v>320</v>
      </c>
      <c r="AC23" s="2" t="s">
        <v>321</v>
      </c>
    </row>
    <row r="24" spans="2:29" ht="13.5">
      <c r="B24" s="47">
        <v>2021</v>
      </c>
      <c r="C24" s="48" t="s">
        <v>281</v>
      </c>
      <c r="D24" s="49">
        <f>'8b. Baseline Emissions_Other'!D34</f>
        <v>480449</v>
      </c>
      <c r="E24" s="49">
        <f>'8b. Baseline Emissions_Other'!E34</f>
        <v>118021</v>
      </c>
      <c r="F24" s="49">
        <f>'8b. Baseline Emissions_Other'!F34</f>
        <v>92880</v>
      </c>
      <c r="G24" s="49">
        <f>'8b. Baseline Emissions_Other'!G34</f>
        <v>44072.443211162601</v>
      </c>
      <c r="H24" s="50" cm="1">
        <f t="array" aca="1" ref="H24" ca="1">INDIRECT($W24&amp;X24)*($G24/$D24)</f>
        <v>4.9579263805688584E-2</v>
      </c>
      <c r="I24" s="50" cm="1">
        <f t="array" aca="1" ref="I24" ca="1">INDIRECT($W24&amp;Y24)*($G24/$D24)</f>
        <v>1.3311716750757632</v>
      </c>
      <c r="J24" s="50" cm="1">
        <f t="array" aca="1" ref="J24" ca="1">INDIRECT($W24&amp;Z24)*($G24/$D24)</f>
        <v>9.9158527611377181E-3</v>
      </c>
      <c r="K24" s="50" cm="1">
        <f t="array" aca="1" ref="K24" ca="1">INDIRECT($W24&amp;AA24)*($G24/$D24)</f>
        <v>0.34605742491486757</v>
      </c>
      <c r="L24" s="50" cm="1">
        <f t="array" aca="1" ref="L24" ca="1">INDIRECT($W24&amp;AB24)*($G24/$D24)</f>
        <v>2.433891132279258E-3</v>
      </c>
      <c r="M24" s="51" cm="1">
        <f t="array" aca="1" ref="M24" ca="1">INDIRECT($W24&amp;AC24)*($G24/$D24)</f>
        <v>3.4605742491486756E-2</v>
      </c>
      <c r="N24" s="50" t="s">
        <v>52</v>
      </c>
      <c r="O24" s="50" t="s">
        <v>52</v>
      </c>
      <c r="P24" s="50" t="s">
        <v>52</v>
      </c>
      <c r="Q24" s="50" t="s">
        <v>52</v>
      </c>
      <c r="R24" s="50" t="s">
        <v>52</v>
      </c>
      <c r="S24" s="51" t="s">
        <v>52</v>
      </c>
      <c r="T24" s="315"/>
      <c r="W24" s="2" t="str">
        <f t="shared" si="0"/>
        <v>'Roads BAE 21'!</v>
      </c>
      <c r="X24" s="2" t="s">
        <v>316</v>
      </c>
      <c r="Y24" s="2" t="s">
        <v>317</v>
      </c>
      <c r="Z24" s="2" t="s">
        <v>318</v>
      </c>
      <c r="AA24" s="2" t="s">
        <v>319</v>
      </c>
      <c r="AB24" s="2" t="s">
        <v>320</v>
      </c>
      <c r="AC24" s="2" t="s">
        <v>321</v>
      </c>
    </row>
    <row r="25" spans="2:29" ht="13.5">
      <c r="B25" s="47">
        <v>2021</v>
      </c>
      <c r="C25" s="48" t="s">
        <v>282</v>
      </c>
      <c r="D25" s="49">
        <f>'8b. Baseline Emissions_Other'!D35</f>
        <v>480449</v>
      </c>
      <c r="E25" s="49">
        <f>'8b. Baseline Emissions_Other'!E35</f>
        <v>102058</v>
      </c>
      <c r="F25" s="49">
        <f>'8b. Baseline Emissions_Other'!F35</f>
        <v>89264</v>
      </c>
      <c r="G25" s="49">
        <f>'8b. Baseline Emissions_Other'!G35</f>
        <v>39980.976761826882</v>
      </c>
      <c r="H25" s="50" cm="1">
        <f t="array" aca="1" ref="H25" ca="1">INDIRECT($W25&amp;X25)*($G25/$D25)</f>
        <v>4.4976571518541647E-2</v>
      </c>
      <c r="I25" s="50" cm="1">
        <f t="array" aca="1" ref="I25" ca="1">INDIRECT($W25&amp;Y25)*($G25/$D25)</f>
        <v>1.2075923168635767</v>
      </c>
      <c r="J25" s="50" cm="1">
        <f t="array" aca="1" ref="J25" ca="1">INDIRECT($W25&amp;Z25)*($G25/$D25)</f>
        <v>8.9953143037083318E-3</v>
      </c>
      <c r="K25" s="50" cm="1">
        <f t="array" aca="1" ref="K25" ca="1">INDIRECT($W25&amp;AA25)*($G25/$D25)</f>
        <v>0.31393117457746667</v>
      </c>
      <c r="L25" s="50" cm="1">
        <f t="array" aca="1" ref="L25" ca="1">INDIRECT($W25&amp;AB25)*($G25/$D25)</f>
        <v>2.2079407836374993E-3</v>
      </c>
      <c r="M25" s="51" cm="1">
        <f t="array" aca="1" ref="M25" ca="1">INDIRECT($W25&amp;AC25)*($G25/$D25)</f>
        <v>3.1393117457746665E-2</v>
      </c>
      <c r="N25" s="50" t="s">
        <v>52</v>
      </c>
      <c r="O25" s="50" t="s">
        <v>52</v>
      </c>
      <c r="P25" s="50" t="s">
        <v>52</v>
      </c>
      <c r="Q25" s="50" t="s">
        <v>52</v>
      </c>
      <c r="R25" s="50" t="s">
        <v>52</v>
      </c>
      <c r="S25" s="51" t="s">
        <v>52</v>
      </c>
      <c r="T25" s="315"/>
      <c r="W25" s="2" t="str">
        <f t="shared" si="0"/>
        <v>'Roads BAE 21'!</v>
      </c>
      <c r="X25" s="2" t="s">
        <v>316</v>
      </c>
      <c r="Y25" s="2" t="s">
        <v>317</v>
      </c>
      <c r="Z25" s="2" t="s">
        <v>318</v>
      </c>
      <c r="AA25" s="2" t="s">
        <v>319</v>
      </c>
      <c r="AB25" s="2" t="s">
        <v>320</v>
      </c>
      <c r="AC25" s="2" t="s">
        <v>321</v>
      </c>
    </row>
    <row r="26" spans="2:29" ht="13.5">
      <c r="B26" s="47">
        <v>2021</v>
      </c>
      <c r="C26" s="48" t="s">
        <v>283</v>
      </c>
      <c r="D26" s="49">
        <f>'8b. Baseline Emissions_Other'!D36</f>
        <v>480449</v>
      </c>
      <c r="E26" s="49">
        <f>'8b. Baseline Emissions_Other'!E36</f>
        <v>118515</v>
      </c>
      <c r="F26" s="49">
        <f>'8b. Baseline Emissions_Other'!F36</f>
        <v>90789</v>
      </c>
      <c r="G26" s="49">
        <f>'8b. Baseline Emissions_Other'!G36</f>
        <v>43738.714628518486</v>
      </c>
      <c r="H26" s="50" cm="1">
        <f t="array" aca="1" ref="H26" ca="1">INDIRECT($W26&amp;X26)*($G26/$D26)</f>
        <v>4.9203836072782225E-2</v>
      </c>
      <c r="I26" s="50" cm="1">
        <f t="array" aca="1" ref="I26" ca="1">INDIRECT($W26&amp;Y26)*($G26/$D26)</f>
        <v>1.3210916794138365</v>
      </c>
      <c r="J26" s="50" cm="1">
        <f t="array" aca="1" ref="J26" ca="1">INDIRECT($W26&amp;Z26)*($G26/$D26)</f>
        <v>9.8407672145564458E-3</v>
      </c>
      <c r="K26" s="50" cm="1">
        <f t="array" aca="1" ref="K26" ca="1">INDIRECT($W26&amp;AA26)*($G26/$D26)</f>
        <v>0.34343698353436658</v>
      </c>
      <c r="L26" s="50" cm="1">
        <f t="array" aca="1" ref="L26" ca="1">INDIRECT($W26&amp;AB26)*($G26/$D26)</f>
        <v>2.4154610435729459E-3</v>
      </c>
      <c r="M26" s="51" cm="1">
        <f t="array" aca="1" ref="M26" ca="1">INDIRECT($W26&amp;AC26)*($G26/$D26)</f>
        <v>3.4343698353436661E-2</v>
      </c>
      <c r="N26" s="50" t="s">
        <v>52</v>
      </c>
      <c r="O26" s="50" t="s">
        <v>52</v>
      </c>
      <c r="P26" s="50" t="s">
        <v>52</v>
      </c>
      <c r="Q26" s="50" t="s">
        <v>52</v>
      </c>
      <c r="R26" s="50" t="s">
        <v>52</v>
      </c>
      <c r="S26" s="51" t="s">
        <v>52</v>
      </c>
      <c r="T26" s="315"/>
      <c r="W26" s="2" t="str">
        <f t="shared" si="0"/>
        <v>'Roads BAE 21'!</v>
      </c>
      <c r="X26" s="2" t="s">
        <v>316</v>
      </c>
      <c r="Y26" s="2" t="s">
        <v>317</v>
      </c>
      <c r="Z26" s="2" t="s">
        <v>318</v>
      </c>
      <c r="AA26" s="2" t="s">
        <v>319</v>
      </c>
      <c r="AB26" s="2" t="s">
        <v>320</v>
      </c>
      <c r="AC26" s="2" t="s">
        <v>321</v>
      </c>
    </row>
    <row r="27" spans="2:29" ht="13.5">
      <c r="B27" s="47">
        <v>2021</v>
      </c>
      <c r="C27" s="48" t="s">
        <v>284</v>
      </c>
      <c r="D27" s="49">
        <f>'8b. Baseline Emissions_Other'!D37</f>
        <v>480449</v>
      </c>
      <c r="E27" s="49">
        <f>'8b. Baseline Emissions_Other'!E37</f>
        <v>92525</v>
      </c>
      <c r="F27" s="49">
        <f>'8b. Baseline Emissions_Other'!F37</f>
        <v>103068</v>
      </c>
      <c r="G27" s="49">
        <f>'8b. Baseline Emissions_Other'!G37</f>
        <v>40873.496972517569</v>
      </c>
      <c r="H27" s="50" cm="1">
        <f t="array" aca="1" ref="H27" ca="1">INDIRECT($W27&amp;X27)*($G27/$D27)</f>
        <v>4.5980611498030108E-2</v>
      </c>
      <c r="I27" s="50" cm="1">
        <f t="array" aca="1" ref="I27" ca="1">INDIRECT($W27&amp;Y27)*($G27/$D27)</f>
        <v>1.2345501512230561</v>
      </c>
      <c r="J27" s="50" cm="1">
        <f t="array" aca="1" ref="J27" ca="1">INDIRECT($W27&amp;Z27)*($G27/$D27)</f>
        <v>9.1961222996060233E-3</v>
      </c>
      <c r="K27" s="50" cm="1">
        <f t="array" aca="1" ref="K27" ca="1">INDIRECT($W27&amp;AA27)*($G27/$D27)</f>
        <v>0.32093925543915724</v>
      </c>
      <c r="L27" s="50" cm="1">
        <f t="array" aca="1" ref="L27" ca="1">INDIRECT($W27&amp;AB27)*($G27/$D27)</f>
        <v>2.2572300189942058E-3</v>
      </c>
      <c r="M27" s="51" cm="1">
        <f t="array" aca="1" ref="M27" ca="1">INDIRECT($W27&amp;AC27)*($G27/$D27)</f>
        <v>3.209392554391572E-2</v>
      </c>
      <c r="N27" s="50" t="s">
        <v>52</v>
      </c>
      <c r="O27" s="50" t="s">
        <v>52</v>
      </c>
      <c r="P27" s="50" t="s">
        <v>52</v>
      </c>
      <c r="Q27" s="50" t="s">
        <v>52</v>
      </c>
      <c r="R27" s="50" t="s">
        <v>52</v>
      </c>
      <c r="S27" s="51" t="s">
        <v>52</v>
      </c>
      <c r="T27" s="315"/>
      <c r="W27" s="2" t="str">
        <f t="shared" si="0"/>
        <v>'Roads BAE 21'!</v>
      </c>
      <c r="X27" s="2" t="s">
        <v>316</v>
      </c>
      <c r="Y27" s="2" t="s">
        <v>317</v>
      </c>
      <c r="Z27" s="2" t="s">
        <v>318</v>
      </c>
      <c r="AA27" s="2" t="s">
        <v>319</v>
      </c>
      <c r="AB27" s="2" t="s">
        <v>320</v>
      </c>
      <c r="AC27" s="2" t="s">
        <v>321</v>
      </c>
    </row>
    <row r="28" spans="2:29" ht="13.5">
      <c r="B28" s="47">
        <v>2021</v>
      </c>
      <c r="C28" s="48" t="s">
        <v>285</v>
      </c>
      <c r="D28" s="49">
        <f>'8b. Baseline Emissions_Other'!D38</f>
        <v>480449</v>
      </c>
      <c r="E28" s="49">
        <f>'8b. Baseline Emissions_Other'!E38</f>
        <v>31949</v>
      </c>
      <c r="F28" s="49">
        <f>'8b. Baseline Emissions_Other'!F38</f>
        <v>110058</v>
      </c>
      <c r="G28" s="49">
        <f>'8b. Baseline Emissions_Other'!G38</f>
        <v>29675.513359763907</v>
      </c>
      <c r="H28" s="50" cm="1">
        <f t="array" aca="1" ref="H28" ca="1">INDIRECT($W28&amp;X28)*($G28/$D28)</f>
        <v>3.3383447756314195E-2</v>
      </c>
      <c r="I28" s="50" cm="1">
        <f t="array" aca="1" ref="I28" ca="1">INDIRECT($W28&amp;Y28)*($G28/$D28)</f>
        <v>0.89632432308279208</v>
      </c>
      <c r="J28" s="50" cm="1">
        <f t="array" aca="1" ref="J28" ca="1">INDIRECT($W28&amp;Z28)*($G28/$D28)</f>
        <v>6.6766895512628396E-3</v>
      </c>
      <c r="K28" s="50" cm="1">
        <f t="array" aca="1" ref="K28" ca="1">INDIRECT($W28&amp;AA28)*($G28/$D28)</f>
        <v>0.2330125354544815</v>
      </c>
      <c r="L28" s="50" cm="1">
        <f t="array" aca="1" ref="L28" ca="1">INDIRECT($W28&amp;AB28)*($G28/$D28)</f>
        <v>1.6388237989463333E-3</v>
      </c>
      <c r="M28" s="51" cm="1">
        <f t="array" aca="1" ref="M28" ca="1">INDIRECT($W28&amp;AC28)*($G28/$D28)</f>
        <v>2.3301253545448153E-2</v>
      </c>
      <c r="N28" s="50" t="s">
        <v>52</v>
      </c>
      <c r="O28" s="50" t="s">
        <v>52</v>
      </c>
      <c r="P28" s="50" t="s">
        <v>52</v>
      </c>
      <c r="Q28" s="50" t="s">
        <v>52</v>
      </c>
      <c r="R28" s="50" t="s">
        <v>52</v>
      </c>
      <c r="S28" s="51" t="s">
        <v>52</v>
      </c>
      <c r="T28" s="315"/>
      <c r="W28" s="2" t="str">
        <f t="shared" si="0"/>
        <v>'Roads BAE 21'!</v>
      </c>
      <c r="X28" s="2" t="s">
        <v>316</v>
      </c>
      <c r="Y28" s="2" t="s">
        <v>317</v>
      </c>
      <c r="Z28" s="2" t="s">
        <v>318</v>
      </c>
      <c r="AA28" s="2" t="s">
        <v>319</v>
      </c>
      <c r="AB28" s="2" t="s">
        <v>320</v>
      </c>
      <c r="AC28" s="2" t="s">
        <v>321</v>
      </c>
    </row>
    <row r="29" spans="2:29" ht="13.5">
      <c r="B29" s="47">
        <v>2021</v>
      </c>
      <c r="C29" s="48" t="s">
        <v>286</v>
      </c>
      <c r="D29" s="49">
        <f>'8b. Baseline Emissions_Other'!D39</f>
        <v>480449</v>
      </c>
      <c r="E29" s="49">
        <f>'8b. Baseline Emissions_Other'!E39</f>
        <v>96624</v>
      </c>
      <c r="F29" s="49">
        <f>'8b. Baseline Emissions_Other'!F39</f>
        <v>93857</v>
      </c>
      <c r="G29" s="49">
        <f>'8b. Baseline Emissions_Other'!G39</f>
        <v>39805.231152557193</v>
      </c>
      <c r="H29" s="50" cm="1">
        <f t="array" aca="1" ref="H29" ca="1">INDIRECT($W29&amp;X29)*($G29/$D29)</f>
        <v>4.4778866619747504E-2</v>
      </c>
      <c r="I29" s="50" cm="1">
        <f t="array" aca="1" ref="I29" ca="1">INDIRECT($W29&amp;Y29)*($G29/$D29)</f>
        <v>1.2022840661737331</v>
      </c>
      <c r="J29" s="50" cm="1">
        <f t="array" aca="1" ref="J29" ca="1">INDIRECT($W29&amp;Z29)*($G29/$D29)</f>
        <v>8.9557733239495028E-3</v>
      </c>
      <c r="K29" s="50" cm="1">
        <f t="array" aca="1" ref="K29" ca="1">INDIRECT($W29&amp;AA29)*($G29/$D29)</f>
        <v>0.31255121765761612</v>
      </c>
      <c r="L29" s="50" cm="1">
        <f t="array" aca="1" ref="L29" ca="1">INDIRECT($W29&amp;AB29)*($G29/$D29)</f>
        <v>2.198235270423969E-3</v>
      </c>
      <c r="M29" s="51" cm="1">
        <f t="array" aca="1" ref="M29" ca="1">INDIRECT($W29&amp;AC29)*($G29/$D29)</f>
        <v>3.1255121765761618E-2</v>
      </c>
      <c r="N29" s="50" t="s">
        <v>52</v>
      </c>
      <c r="O29" s="50" t="s">
        <v>52</v>
      </c>
      <c r="P29" s="50" t="s">
        <v>52</v>
      </c>
      <c r="Q29" s="50" t="s">
        <v>52</v>
      </c>
      <c r="R29" s="50" t="s">
        <v>52</v>
      </c>
      <c r="S29" s="51" t="s">
        <v>52</v>
      </c>
      <c r="T29" s="315"/>
      <c r="W29" s="2" t="str">
        <f t="shared" si="0"/>
        <v>'Roads BAE 21'!</v>
      </c>
      <c r="X29" s="2" t="s">
        <v>316</v>
      </c>
      <c r="Y29" s="2" t="s">
        <v>317</v>
      </c>
      <c r="Z29" s="2" t="s">
        <v>318</v>
      </c>
      <c r="AA29" s="2" t="s">
        <v>319</v>
      </c>
      <c r="AB29" s="2" t="s">
        <v>320</v>
      </c>
      <c r="AC29" s="2" t="s">
        <v>321</v>
      </c>
    </row>
    <row r="30" spans="2:29" ht="13.5">
      <c r="B30" s="47">
        <v>2021</v>
      </c>
      <c r="C30" s="48" t="s">
        <v>287</v>
      </c>
      <c r="D30" s="49">
        <f>'8b. Baseline Emissions_Other'!D40</f>
        <v>480449</v>
      </c>
      <c r="E30" s="49">
        <f>'8b. Baseline Emissions_Other'!E40</f>
        <v>119732</v>
      </c>
      <c r="F30" s="49">
        <f>'8b. Baseline Emissions_Other'!F40</f>
        <v>97467</v>
      </c>
      <c r="G30" s="49">
        <f>'8b. Baseline Emissions_Other'!G40</f>
        <v>45388.550044908778</v>
      </c>
      <c r="H30" s="50" cm="1">
        <f t="array" aca="1" ref="H30" ca="1">INDIRECT($W30&amp;X30)*($G30/$D30)</f>
        <v>5.105981725706258E-2</v>
      </c>
      <c r="I30" s="50" cm="1">
        <f t="array" aca="1" ref="I30" ca="1">INDIRECT($W30&amp;Y30)*($G30/$D30)</f>
        <v>1.370923592845841</v>
      </c>
      <c r="J30" s="50" cm="1">
        <f t="array" aca="1" ref="J30" ca="1">INDIRECT($W30&amp;Z30)*($G30/$D30)</f>
        <v>1.0211963451412518E-2</v>
      </c>
      <c r="K30" s="50" cm="1">
        <f t="array" aca="1" ref="K30" ca="1">INDIRECT($W30&amp;AA30)*($G30/$D30)</f>
        <v>0.35639151371536559</v>
      </c>
      <c r="L30" s="50" cm="1">
        <f t="array" aca="1" ref="L30" ca="1">INDIRECT($W30&amp;AB30)*($G30/$D30)</f>
        <v>2.5065728471648906E-3</v>
      </c>
      <c r="M30" s="51" cm="1">
        <f t="array" aca="1" ref="M30" ca="1">INDIRECT($W30&amp;AC30)*($G30/$D30)</f>
        <v>3.5639151371536559E-2</v>
      </c>
      <c r="N30" s="50" t="s">
        <v>52</v>
      </c>
      <c r="O30" s="50" t="s">
        <v>52</v>
      </c>
      <c r="P30" s="50" t="s">
        <v>52</v>
      </c>
      <c r="Q30" s="50" t="s">
        <v>52</v>
      </c>
      <c r="R30" s="50" t="s">
        <v>52</v>
      </c>
      <c r="S30" s="51" t="s">
        <v>52</v>
      </c>
      <c r="T30" s="315"/>
      <c r="W30" s="2" t="str">
        <f t="shared" si="0"/>
        <v>'Roads BAE 21'!</v>
      </c>
      <c r="X30" s="2" t="s">
        <v>316</v>
      </c>
      <c r="Y30" s="2" t="s">
        <v>317</v>
      </c>
      <c r="Z30" s="2" t="s">
        <v>318</v>
      </c>
      <c r="AA30" s="2" t="s">
        <v>319</v>
      </c>
      <c r="AB30" s="2" t="s">
        <v>320</v>
      </c>
      <c r="AC30" s="2" t="s">
        <v>321</v>
      </c>
    </row>
    <row r="31" spans="2:29" ht="13.5">
      <c r="B31" s="47">
        <v>2021</v>
      </c>
      <c r="C31" s="48" t="s">
        <v>288</v>
      </c>
      <c r="D31" s="49">
        <f>'8b. Baseline Emissions_Other'!D41</f>
        <v>480449</v>
      </c>
      <c r="E31" s="49">
        <f>'8b. Baseline Emissions_Other'!E41</f>
        <v>118243</v>
      </c>
      <c r="F31" s="49">
        <f>'8b. Baseline Emissions_Other'!F41</f>
        <v>94780</v>
      </c>
      <c r="G31" s="49">
        <f>'8b. Baseline Emissions_Other'!G41</f>
        <v>44515.882191983401</v>
      </c>
      <c r="H31" s="50" cm="1">
        <f t="array" aca="1" ref="H31" ca="1">INDIRECT($W31&amp;X31)*($G31/$D31)</f>
        <v>5.0078110173395099E-2</v>
      </c>
      <c r="I31" s="50" cm="1">
        <f t="array" aca="1" ref="I31" ca="1">INDIRECT($W31&amp;Y31)*($G31/$D31)</f>
        <v>1.3445653825238586</v>
      </c>
      <c r="J31" s="50" cm="1">
        <f t="array" aca="1" ref="J31" ca="1">INDIRECT($W31&amp;Z31)*($G31/$D31)</f>
        <v>1.0015622034679022E-2</v>
      </c>
      <c r="K31" s="50" cm="1">
        <f t="array" aca="1" ref="K31" ca="1">INDIRECT($W31&amp;AA31)*($G31/$D31)</f>
        <v>0.34953931383748699</v>
      </c>
      <c r="L31" s="50" cm="1">
        <f t="array" aca="1" ref="L31" ca="1">INDIRECT($W31&amp;AB31)*($G31/$D31)</f>
        <v>2.4583799539666688E-3</v>
      </c>
      <c r="M31" s="51" cm="1">
        <f t="array" aca="1" ref="M31" ca="1">INDIRECT($W31&amp;AC31)*($G31/$D31)</f>
        <v>3.49539313837487E-2</v>
      </c>
      <c r="N31" s="50" t="s">
        <v>52</v>
      </c>
      <c r="O31" s="50" t="s">
        <v>52</v>
      </c>
      <c r="P31" s="50" t="s">
        <v>52</v>
      </c>
      <c r="Q31" s="50" t="s">
        <v>52</v>
      </c>
      <c r="R31" s="50" t="s">
        <v>52</v>
      </c>
      <c r="S31" s="51" t="s">
        <v>52</v>
      </c>
      <c r="T31" s="315"/>
      <c r="W31" s="2" t="str">
        <f t="shared" si="0"/>
        <v>'Roads BAE 21'!</v>
      </c>
      <c r="X31" s="2" t="s">
        <v>316</v>
      </c>
      <c r="Y31" s="2" t="s">
        <v>317</v>
      </c>
      <c r="Z31" s="2" t="s">
        <v>318</v>
      </c>
      <c r="AA31" s="2" t="s">
        <v>319</v>
      </c>
      <c r="AB31" s="2" t="s">
        <v>320</v>
      </c>
      <c r="AC31" s="2" t="s">
        <v>321</v>
      </c>
    </row>
    <row r="32" spans="2:29" ht="13.5">
      <c r="B32" s="47">
        <v>2021</v>
      </c>
      <c r="C32" s="48" t="s">
        <v>289</v>
      </c>
      <c r="D32" s="49">
        <f>'8b. Baseline Emissions_Other'!D42</f>
        <v>480449</v>
      </c>
      <c r="E32" s="49">
        <f>'8b. Baseline Emissions_Other'!E42</f>
        <v>121107</v>
      </c>
      <c r="F32" s="49">
        <f>'8b. Baseline Emissions_Other'!F42</f>
        <v>85016</v>
      </c>
      <c r="G32" s="49">
        <f>'8b. Baseline Emissions_Other'!G42</f>
        <v>43073.974101661297</v>
      </c>
      <c r="H32" s="50" cm="1">
        <f t="array" aca="1" ref="H32" ca="1">INDIRECT($W32&amp;X32)*($G32/$D32)</f>
        <v>4.8456036687450264E-2</v>
      </c>
      <c r="I32" s="50" cm="1">
        <f t="array" aca="1" ref="I32" ca="1">INDIRECT($W32&amp;Y32)*($G32/$D32)</f>
        <v>1.3010137419056407</v>
      </c>
      <c r="J32" s="50" cm="1">
        <f t="array" aca="1" ref="J32" ca="1">INDIRECT($W32&amp;Z32)*($G32/$D32)</f>
        <v>9.6912073374900553E-3</v>
      </c>
      <c r="K32" s="50" cm="1">
        <f t="array" aca="1" ref="K32" ca="1">INDIRECT($W32&amp;AA32)*($G32/$D32)</f>
        <v>0.33821743185535985</v>
      </c>
      <c r="L32" s="50" cm="1">
        <f t="array" aca="1" ref="L32" ca="1">INDIRECT($W32&amp;AB32)*($G32/$D32)</f>
        <v>2.3787508919293769E-3</v>
      </c>
      <c r="M32" s="51" cm="1">
        <f t="array" aca="1" ref="M32" ca="1">INDIRECT($W32&amp;AC32)*($G32/$D32)</f>
        <v>3.3821743185535984E-2</v>
      </c>
      <c r="N32" s="50" t="s">
        <v>52</v>
      </c>
      <c r="O32" s="50" t="s">
        <v>52</v>
      </c>
      <c r="P32" s="50" t="s">
        <v>52</v>
      </c>
      <c r="Q32" s="50" t="s">
        <v>52</v>
      </c>
      <c r="R32" s="50" t="s">
        <v>52</v>
      </c>
      <c r="S32" s="51" t="s">
        <v>52</v>
      </c>
      <c r="T32" s="315"/>
      <c r="W32" s="2" t="str">
        <f t="shared" si="0"/>
        <v>'Roads BAE 21'!</v>
      </c>
      <c r="X32" s="2" t="s">
        <v>316</v>
      </c>
      <c r="Y32" s="2" t="s">
        <v>317</v>
      </c>
      <c r="Z32" s="2" t="s">
        <v>318</v>
      </c>
      <c r="AA32" s="2" t="s">
        <v>319</v>
      </c>
      <c r="AB32" s="2" t="s">
        <v>320</v>
      </c>
      <c r="AC32" s="2" t="s">
        <v>321</v>
      </c>
    </row>
    <row r="33" spans="2:29" ht="13.5">
      <c r="B33" s="47">
        <v>2021</v>
      </c>
      <c r="C33" s="48" t="s">
        <v>290</v>
      </c>
      <c r="D33" s="49">
        <f>'8b. Baseline Emissions_Other'!D43</f>
        <v>480449</v>
      </c>
      <c r="E33" s="49">
        <f>'8b. Baseline Emissions_Other'!E43</f>
        <v>102534</v>
      </c>
      <c r="F33" s="49">
        <f>'8b. Baseline Emissions_Other'!F43</f>
        <v>83037</v>
      </c>
      <c r="G33" s="49">
        <f>'8b. Baseline Emissions_Other'!G43</f>
        <v>38779.177714371464</v>
      </c>
      <c r="H33" s="50" cm="1">
        <f t="array" aca="1" ref="H33" ca="1">INDIRECT($W33&amp;X33)*($G33/$D33)</f>
        <v>4.3624608530473716E-2</v>
      </c>
      <c r="I33" s="50" cm="1">
        <f t="array" aca="1" ref="I33" ca="1">INDIRECT($W33&amp;Y33)*($G33/$D33)</f>
        <v>1.1712929711830882</v>
      </c>
      <c r="J33" s="50" cm="1">
        <f t="array" aca="1" ref="J33" ca="1">INDIRECT($W33&amp;Z33)*($G33/$D33)</f>
        <v>8.7249217060947452E-3</v>
      </c>
      <c r="K33" s="50" cm="1">
        <f t="array" aca="1" ref="K33" ca="1">INDIRECT($W33&amp;AA33)*($G33/$D33)</f>
        <v>0.30449463207323291</v>
      </c>
      <c r="L33" s="50" cm="1">
        <f t="array" aca="1" ref="L33" ca="1">INDIRECT($W33&amp;AB33)*($G33/$D33)</f>
        <v>2.1415716914959825E-3</v>
      </c>
      <c r="M33" s="51" cm="1">
        <f t="array" aca="1" ref="M33" ca="1">INDIRECT($W33&amp;AC33)*($G33/$D33)</f>
        <v>3.0449463207323293E-2</v>
      </c>
      <c r="N33" s="50" t="s">
        <v>52</v>
      </c>
      <c r="O33" s="50" t="s">
        <v>52</v>
      </c>
      <c r="P33" s="50" t="s">
        <v>52</v>
      </c>
      <c r="Q33" s="50" t="s">
        <v>52</v>
      </c>
      <c r="R33" s="50" t="s">
        <v>52</v>
      </c>
      <c r="S33" s="51" t="s">
        <v>52</v>
      </c>
      <c r="T33" s="315"/>
      <c r="W33" s="2" t="str">
        <f t="shared" si="0"/>
        <v>'Roads BAE 21'!</v>
      </c>
      <c r="X33" s="2" t="s">
        <v>316</v>
      </c>
      <c r="Y33" s="2" t="s">
        <v>317</v>
      </c>
      <c r="Z33" s="2" t="s">
        <v>318</v>
      </c>
      <c r="AA33" s="2" t="s">
        <v>319</v>
      </c>
      <c r="AB33" s="2" t="s">
        <v>320</v>
      </c>
      <c r="AC33" s="2" t="s">
        <v>321</v>
      </c>
    </row>
    <row r="34" spans="2:29" ht="14.25" thickBot="1">
      <c r="B34" s="52">
        <v>2021</v>
      </c>
      <c r="C34" s="53" t="s">
        <v>291</v>
      </c>
      <c r="D34" s="54">
        <f>'8b. Baseline Emissions_Other'!D44</f>
        <v>480449</v>
      </c>
      <c r="E34" s="54">
        <f>'8b. Baseline Emissions_Other'!E44</f>
        <v>97991</v>
      </c>
      <c r="F34" s="54">
        <f>'8b. Baseline Emissions_Other'!F44</f>
        <v>86551</v>
      </c>
      <c r="G34" s="54">
        <f>'8b. Baseline Emissions_Other'!G44</f>
        <v>38564.145333945169</v>
      </c>
      <c r="H34" s="55" cm="1">
        <f t="array" aca="1" ref="H34" ca="1">INDIRECT($W34&amp;X34)*($G34/$D34)</f>
        <v>4.3382708006265425E-2</v>
      </c>
      <c r="I34" s="55" cm="1">
        <f t="array" aca="1" ref="I34" ca="1">INDIRECT($W34&amp;Y34)*($G34/$D34)</f>
        <v>1.1647980960821975</v>
      </c>
      <c r="J34" s="55" cm="1">
        <f t="array" aca="1" ref="J34" ca="1">INDIRECT($W34&amp;Z34)*($G34/$D34)</f>
        <v>8.6765416012530867E-3</v>
      </c>
      <c r="K34" s="55" cm="1">
        <f t="array" aca="1" ref="K34" ca="1">INDIRECT($W34&amp;AA34)*($G34/$D34)</f>
        <v>0.30280619489068095</v>
      </c>
      <c r="L34" s="55" cm="1">
        <f t="array" aca="1" ref="L34" ca="1">INDIRECT($W34&amp;AB34)*($G34/$D34)</f>
        <v>2.1296965748530301E-3</v>
      </c>
      <c r="M34" s="56" cm="1">
        <f t="array" aca="1" ref="M34" ca="1">INDIRECT($W34&amp;AC34)*($G34/$D34)</f>
        <v>3.0280619489068097E-2</v>
      </c>
      <c r="N34" s="55">
        <f t="shared" ref="N34:S34" ca="1" si="1">SUM(H11:H34)/2</f>
        <v>0.54811604672928516</v>
      </c>
      <c r="O34" s="55">
        <f t="shared" ca="1" si="1"/>
        <v>14.716566968806246</v>
      </c>
      <c r="P34" s="55">
        <f t="shared" ca="1" si="1"/>
        <v>0.10962320934585705</v>
      </c>
      <c r="Q34" s="55">
        <f t="shared" ca="1" si="1"/>
        <v>3.8257854821936728</v>
      </c>
      <c r="R34" s="55">
        <f t="shared" ca="1" si="1"/>
        <v>2.6907515021255816E-2</v>
      </c>
      <c r="S34" s="56">
        <f t="shared" ca="1" si="1"/>
        <v>0.38257854821936732</v>
      </c>
      <c r="T34" s="315"/>
      <c r="W34" s="2" t="str">
        <f t="shared" si="0"/>
        <v>'Roads BAE 21'!</v>
      </c>
      <c r="X34" s="2" t="s">
        <v>316</v>
      </c>
      <c r="Y34" s="2" t="s">
        <v>317</v>
      </c>
      <c r="Z34" s="2" t="s">
        <v>318</v>
      </c>
      <c r="AA34" s="2" t="s">
        <v>319</v>
      </c>
      <c r="AB34" s="2" t="s">
        <v>320</v>
      </c>
      <c r="AC34" s="2" t="s">
        <v>321</v>
      </c>
    </row>
    <row r="35" spans="2:29">
      <c r="B35" s="2" t="s">
        <v>322</v>
      </c>
    </row>
    <row r="54" ht="27" customHeight="1"/>
  </sheetData>
  <mergeCells count="11">
    <mergeCell ref="G9:G10"/>
    <mergeCell ref="B9:B10"/>
    <mergeCell ref="C9:C10"/>
    <mergeCell ref="D9:D10"/>
    <mergeCell ref="E9:E10"/>
    <mergeCell ref="F9:F10"/>
    <mergeCell ref="H8:M8"/>
    <mergeCell ref="N8:S8"/>
    <mergeCell ref="X9:Y9"/>
    <mergeCell ref="Z9:AA9"/>
    <mergeCell ref="AB9:AC9"/>
  </mergeCells>
  <pageMargins left="0.7" right="0.7" top="0.75" bottom="0.75" header="0.3" footer="0.3"/>
  <pageSetup scale="66" fitToHeight="3"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9C67E-20F1-4AF9-BB86-166F0E3FAC10}">
  <sheetPr>
    <tabColor theme="0"/>
    <pageSetUpPr fitToPage="1"/>
  </sheetPr>
  <dimension ref="A1"/>
  <sheetViews>
    <sheetView workbookViewId="0">
      <selection activeCell="C25" sqref="C25"/>
    </sheetView>
  </sheetViews>
  <sheetFormatPr defaultColWidth="9.140625" defaultRowHeight="12.75"/>
  <cols>
    <col min="1" max="16384" width="9.140625" style="2"/>
  </cols>
  <sheetData/>
  <pageMargins left="0.7" right="0.7" top="0.75" bottom="0.75" header="0.3" footer="0.3"/>
  <pageSetup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CD9E2-CA76-4E67-AB71-E6566E5D3344}">
  <sheetPr>
    <tabColor theme="0"/>
  </sheetPr>
  <dimension ref="B2:T97"/>
  <sheetViews>
    <sheetView topLeftCell="A53" zoomScale="150" zoomScaleNormal="150" zoomScaleSheetLayoutView="140" workbookViewId="0">
      <selection activeCell="L46" sqref="L46"/>
    </sheetView>
  </sheetViews>
  <sheetFormatPr defaultColWidth="8.85546875" defaultRowHeight="12.75"/>
  <cols>
    <col min="1" max="1" width="4.140625" style="2" customWidth="1"/>
    <col min="2" max="2" width="29.5703125" style="2" customWidth="1"/>
    <col min="3" max="3" width="9.85546875" style="2" customWidth="1"/>
    <col min="4" max="5" width="10.140625" style="2" customWidth="1"/>
    <col min="6" max="6" width="12.5703125" style="2" customWidth="1"/>
    <col min="7" max="7" width="10.85546875" style="2" customWidth="1"/>
    <col min="8" max="9" width="8.85546875" style="2"/>
    <col min="10" max="10" width="10.5703125" style="2" customWidth="1"/>
    <col min="11" max="11" width="12" style="2" customWidth="1"/>
    <col min="12" max="12" width="8.85546875" style="2"/>
    <col min="13" max="13" width="10.5703125" style="2" customWidth="1"/>
    <col min="14" max="14" width="11.85546875" style="2" customWidth="1"/>
    <col min="15" max="16384" width="8.85546875" style="2"/>
  </cols>
  <sheetData>
    <row r="2" spans="2:11">
      <c r="B2" s="6" t="s">
        <v>0</v>
      </c>
      <c r="C2" s="7" t="str">
        <f>'1. Step 1 Evaluation'!C2</f>
        <v>U. S. Steel</v>
      </c>
    </row>
    <row r="3" spans="2:11">
      <c r="B3" s="6" t="s">
        <v>2</v>
      </c>
      <c r="C3" s="7" t="str">
        <f>'1. Step 1 Evaluation'!C3</f>
        <v>Edgar Thomson Plant</v>
      </c>
    </row>
    <row r="4" spans="2:11">
      <c r="B4" s="6" t="s">
        <v>4</v>
      </c>
      <c r="C4" s="7" t="str">
        <f>'1. Step 1 Evaluation'!C4</f>
        <v>Slag Recycler Project</v>
      </c>
    </row>
    <row r="5" spans="2:11" ht="9.75" customHeight="1"/>
    <row r="6" spans="2:11">
      <c r="B6" s="8" t="s">
        <v>325</v>
      </c>
    </row>
    <row r="7" spans="2:11" ht="6" customHeight="1">
      <c r="B7" s="8"/>
    </row>
    <row r="8" spans="2:11">
      <c r="B8" s="9" t="s">
        <v>172</v>
      </c>
    </row>
    <row r="9" spans="2:11">
      <c r="B9" s="10"/>
      <c r="C9" s="11"/>
      <c r="D9" s="11"/>
      <c r="E9" s="11"/>
      <c r="F9" s="11"/>
      <c r="G9" s="11" t="s">
        <v>173</v>
      </c>
      <c r="H9" s="12" t="s">
        <v>162</v>
      </c>
      <c r="I9" s="13"/>
      <c r="J9" s="11" t="s">
        <v>174</v>
      </c>
      <c r="K9" s="11" t="s">
        <v>175</v>
      </c>
    </row>
    <row r="10" spans="2:11">
      <c r="B10" s="14"/>
      <c r="C10" s="15"/>
      <c r="D10" s="15"/>
      <c r="E10" s="15"/>
      <c r="F10" s="15"/>
      <c r="G10" s="15" t="s">
        <v>176</v>
      </c>
      <c r="H10" s="16" t="s">
        <v>86</v>
      </c>
      <c r="I10" s="17"/>
      <c r="J10" s="15" t="s">
        <v>177</v>
      </c>
      <c r="K10" s="15" t="s">
        <v>86</v>
      </c>
    </row>
    <row r="11" spans="2:11">
      <c r="B11" s="14" t="s">
        <v>178</v>
      </c>
      <c r="C11" s="15" t="s">
        <v>179</v>
      </c>
      <c r="D11" s="15" t="s">
        <v>180</v>
      </c>
      <c r="E11" s="15" t="s">
        <v>181</v>
      </c>
      <c r="F11" s="15" t="s">
        <v>182</v>
      </c>
      <c r="G11" s="15" t="s">
        <v>183</v>
      </c>
      <c r="H11" s="11" t="s">
        <v>184</v>
      </c>
      <c r="I11" s="11" t="s">
        <v>185</v>
      </c>
      <c r="J11" s="15" t="s">
        <v>161</v>
      </c>
      <c r="K11" s="15" t="s">
        <v>185</v>
      </c>
    </row>
    <row r="12" spans="2:11" ht="13.5" thickBot="1">
      <c r="B12" s="18"/>
      <c r="C12" s="19"/>
      <c r="D12" s="19"/>
      <c r="E12" s="19"/>
      <c r="F12" s="19" t="s">
        <v>186</v>
      </c>
      <c r="G12" s="19" t="s">
        <v>187</v>
      </c>
      <c r="H12" s="19" t="s">
        <v>188</v>
      </c>
      <c r="I12" s="19" t="s">
        <v>189</v>
      </c>
      <c r="J12" s="19" t="s">
        <v>190</v>
      </c>
      <c r="K12" s="19" t="s">
        <v>182</v>
      </c>
    </row>
    <row r="13" spans="2:11">
      <c r="B13" s="20" t="s">
        <v>191</v>
      </c>
      <c r="C13" s="21">
        <v>1.0999999999999999E-2</v>
      </c>
      <c r="D13" s="22">
        <v>0.30166999999999999</v>
      </c>
      <c r="E13" s="21">
        <f>200000/2000</f>
        <v>100</v>
      </c>
      <c r="F13" s="22">
        <f>(C13*((D13)^0.91)*((E13)^1.02))</f>
        <v>0.40529096039913509</v>
      </c>
      <c r="G13" s="23">
        <f>$C$96</f>
        <v>13868.3616</v>
      </c>
      <c r="H13" s="24">
        <f t="shared" ref="H13:H14" si="0">F13*G13</f>
        <v>5620.7215920264862</v>
      </c>
      <c r="I13" s="22">
        <f t="shared" ref="I13:I14" si="1">H13/2000</f>
        <v>2.8103607960132431</v>
      </c>
      <c r="J13" s="21">
        <v>90</v>
      </c>
      <c r="K13" s="22">
        <f t="shared" ref="K13:K14" si="2">I13*((100-J13)/100)</f>
        <v>0.28103607960132432</v>
      </c>
    </row>
    <row r="14" spans="2:11">
      <c r="B14" s="20" t="s">
        <v>192</v>
      </c>
      <c r="C14" s="21">
        <v>1.0999999999999999E-2</v>
      </c>
      <c r="D14" s="22">
        <v>0.30166999999999999</v>
      </c>
      <c r="E14" s="21">
        <f>150000/2000</f>
        <v>75</v>
      </c>
      <c r="F14" s="22">
        <f t="shared" ref="F14" si="3">(C14*((D14)^0.91)*((E14)^1.02))</f>
        <v>0.30222431785344439</v>
      </c>
      <c r="G14" s="23">
        <f>$C$96</f>
        <v>13868.3616</v>
      </c>
      <c r="H14" s="24">
        <f t="shared" si="0"/>
        <v>4191.3561243049026</v>
      </c>
      <c r="I14" s="22">
        <f t="shared" si="1"/>
        <v>2.0956780621524511</v>
      </c>
      <c r="J14" s="21">
        <v>90</v>
      </c>
      <c r="K14" s="22">
        <f t="shared" si="2"/>
        <v>0.20956780621524512</v>
      </c>
    </row>
    <row r="15" spans="2:11">
      <c r="B15" s="25" t="s">
        <v>193</v>
      </c>
      <c r="C15" s="26"/>
      <c r="D15" s="26"/>
      <c r="E15" s="26"/>
      <c r="F15" s="27"/>
      <c r="G15" s="28">
        <f>SUM(G13:G14)</f>
        <v>27736.7232</v>
      </c>
      <c r="H15" s="29">
        <f>SUM(H13:H14)</f>
        <v>9812.0777163313887</v>
      </c>
      <c r="I15" s="30">
        <f>SUM(I13:I14)</f>
        <v>4.9060388581656937</v>
      </c>
      <c r="J15" s="26"/>
      <c r="K15" s="31">
        <f>SUM(K13:K14)</f>
        <v>0.49060388581656944</v>
      </c>
    </row>
    <row r="16" spans="2:11">
      <c r="G16" s="32"/>
    </row>
    <row r="17" spans="2:20">
      <c r="B17" s="9" t="s">
        <v>57</v>
      </c>
    </row>
    <row r="18" spans="2:20">
      <c r="B18" s="10"/>
      <c r="C18" s="11"/>
      <c r="D18" s="11"/>
      <c r="E18" s="11"/>
      <c r="F18" s="11"/>
      <c r="G18" s="11" t="s">
        <v>173</v>
      </c>
      <c r="H18" s="12" t="s">
        <v>162</v>
      </c>
      <c r="I18" s="13"/>
      <c r="J18" s="11" t="s">
        <v>174</v>
      </c>
      <c r="K18" s="11" t="s">
        <v>175</v>
      </c>
    </row>
    <row r="19" spans="2:20">
      <c r="B19" s="14"/>
      <c r="C19" s="15"/>
      <c r="D19" s="419"/>
      <c r="E19" s="15"/>
      <c r="F19" s="419"/>
      <c r="G19" s="15" t="s">
        <v>176</v>
      </c>
      <c r="H19" s="428" t="s">
        <v>86</v>
      </c>
      <c r="I19" s="17"/>
      <c r="J19" s="419" t="s">
        <v>177</v>
      </c>
      <c r="K19" s="15" t="s">
        <v>86</v>
      </c>
      <c r="L19" s="32"/>
      <c r="N19" s="32"/>
      <c r="P19" s="32"/>
      <c r="T19" s="32"/>
    </row>
    <row r="20" spans="2:20">
      <c r="B20" s="14" t="s">
        <v>178</v>
      </c>
      <c r="C20" s="15" t="s">
        <v>179</v>
      </c>
      <c r="D20" s="15" t="s">
        <v>180</v>
      </c>
      <c r="E20" s="15" t="s">
        <v>181</v>
      </c>
      <c r="F20" s="15" t="s">
        <v>182</v>
      </c>
      <c r="G20" s="15" t="s">
        <v>183</v>
      </c>
      <c r="H20" s="11" t="s">
        <v>184</v>
      </c>
      <c r="I20" s="11" t="s">
        <v>185</v>
      </c>
      <c r="J20" s="15" t="s">
        <v>161</v>
      </c>
      <c r="K20" s="15" t="s">
        <v>185</v>
      </c>
    </row>
    <row r="21" spans="2:20" ht="13.5" thickBot="1">
      <c r="B21" s="18"/>
      <c r="C21" s="19"/>
      <c r="D21" s="19"/>
      <c r="E21" s="19"/>
      <c r="F21" s="19" t="s">
        <v>186</v>
      </c>
      <c r="G21" s="19" t="s">
        <v>187</v>
      </c>
      <c r="H21" s="19" t="s">
        <v>188</v>
      </c>
      <c r="I21" s="19" t="s">
        <v>189</v>
      </c>
      <c r="J21" s="19" t="s">
        <v>190</v>
      </c>
      <c r="K21" s="19" t="s">
        <v>182</v>
      </c>
    </row>
    <row r="22" spans="2:20">
      <c r="B22" s="20" t="s">
        <v>191</v>
      </c>
      <c r="C22" s="21">
        <v>2.2000000000000001E-3</v>
      </c>
      <c r="D22" s="22">
        <f>D13</f>
        <v>0.30166999999999999</v>
      </c>
      <c r="E22" s="21">
        <f>E13</f>
        <v>100</v>
      </c>
      <c r="F22" s="33">
        <f>(C22*((D22)^0.91)*((E22)^1.02))</f>
        <v>8.1058192079827035E-2</v>
      </c>
      <c r="G22" s="23">
        <f>G13</f>
        <v>13868.3616</v>
      </c>
      <c r="H22" s="24">
        <f t="shared" ref="H22:H23" si="4">F22*G22</f>
        <v>1124.1443184052973</v>
      </c>
      <c r="I22" s="22">
        <f t="shared" ref="I22:I23" si="5">H22/2000</f>
        <v>0.56207215920264864</v>
      </c>
      <c r="J22" s="21">
        <v>90</v>
      </c>
      <c r="K22" s="33">
        <f t="shared" ref="K22:K23" si="6">I22*((100-J22)/100)</f>
        <v>5.6207215920264869E-2</v>
      </c>
    </row>
    <row r="23" spans="2:20">
      <c r="B23" s="20" t="s">
        <v>192</v>
      </c>
      <c r="C23" s="21">
        <v>2.2000000000000001E-3</v>
      </c>
      <c r="D23" s="22">
        <f>D14</f>
        <v>0.30166999999999999</v>
      </c>
      <c r="E23" s="21">
        <f>E14</f>
        <v>75</v>
      </c>
      <c r="F23" s="33">
        <f t="shared" ref="F23" si="7">(C23*((D23)^0.91)*((E23)^1.02))</f>
        <v>6.0444863570688886E-2</v>
      </c>
      <c r="G23" s="23">
        <f>G14</f>
        <v>13868.3616</v>
      </c>
      <c r="H23" s="24">
        <f t="shared" si="4"/>
        <v>838.27122486098062</v>
      </c>
      <c r="I23" s="22">
        <f t="shared" si="5"/>
        <v>0.4191356124304903</v>
      </c>
      <c r="J23" s="21">
        <v>90</v>
      </c>
      <c r="K23" s="33">
        <f t="shared" si="6"/>
        <v>4.1913561243049034E-2</v>
      </c>
    </row>
    <row r="24" spans="2:20">
      <c r="B24" s="25" t="s">
        <v>193</v>
      </c>
      <c r="C24" s="26"/>
      <c r="D24" s="26"/>
      <c r="E24" s="26"/>
      <c r="F24" s="27"/>
      <c r="G24" s="28">
        <f>SUM(G22:G23)</f>
        <v>27736.7232</v>
      </c>
      <c r="H24" s="29">
        <f>SUM(H22:H23)</f>
        <v>1962.4155432662778</v>
      </c>
      <c r="I24" s="30">
        <f>SUM(I22:I23)</f>
        <v>0.98120777163313888</v>
      </c>
      <c r="J24" s="26"/>
      <c r="K24" s="31">
        <f>SUM(K22:K23)</f>
        <v>9.812077716331391E-2</v>
      </c>
    </row>
    <row r="25" spans="2:20">
      <c r="G25" s="32"/>
    </row>
    <row r="26" spans="2:20">
      <c r="B26" s="9" t="s">
        <v>58</v>
      </c>
    </row>
    <row r="27" spans="2:20">
      <c r="B27" s="10"/>
      <c r="C27" s="11"/>
      <c r="D27" s="11"/>
      <c r="E27" s="11"/>
      <c r="F27" s="11"/>
      <c r="G27" s="11" t="s">
        <v>173</v>
      </c>
      <c r="H27" s="12" t="s">
        <v>162</v>
      </c>
      <c r="I27" s="13"/>
      <c r="J27" s="11" t="s">
        <v>174</v>
      </c>
      <c r="K27" s="11" t="s">
        <v>175</v>
      </c>
    </row>
    <row r="28" spans="2:20">
      <c r="B28" s="14"/>
      <c r="C28" s="15"/>
      <c r="D28" s="15"/>
      <c r="E28" s="15"/>
      <c r="F28" s="15"/>
      <c r="G28" s="15" t="s">
        <v>176</v>
      </c>
      <c r="H28" s="16" t="s">
        <v>86</v>
      </c>
      <c r="I28" s="17"/>
      <c r="J28" s="15" t="s">
        <v>177</v>
      </c>
      <c r="K28" s="15" t="s">
        <v>86</v>
      </c>
    </row>
    <row r="29" spans="2:20">
      <c r="B29" s="14" t="s">
        <v>178</v>
      </c>
      <c r="C29" s="15" t="s">
        <v>179</v>
      </c>
      <c r="D29" s="15" t="s">
        <v>180</v>
      </c>
      <c r="E29" s="15" t="s">
        <v>181</v>
      </c>
      <c r="F29" s="15" t="s">
        <v>182</v>
      </c>
      <c r="G29" s="15" t="s">
        <v>183</v>
      </c>
      <c r="H29" s="11" t="s">
        <v>184</v>
      </c>
      <c r="I29" s="11" t="s">
        <v>185</v>
      </c>
      <c r="J29" s="15" t="s">
        <v>161</v>
      </c>
      <c r="K29" s="15" t="s">
        <v>185</v>
      </c>
    </row>
    <row r="30" spans="2:20" ht="13.5" thickBot="1">
      <c r="B30" s="18"/>
      <c r="C30" s="19"/>
      <c r="D30" s="19"/>
      <c r="E30" s="19"/>
      <c r="F30" s="19" t="s">
        <v>186</v>
      </c>
      <c r="G30" s="19" t="s">
        <v>187</v>
      </c>
      <c r="H30" s="19" t="s">
        <v>188</v>
      </c>
      <c r="I30" s="19" t="s">
        <v>189</v>
      </c>
      <c r="J30" s="19" t="s">
        <v>190</v>
      </c>
      <c r="K30" s="19" t="s">
        <v>182</v>
      </c>
    </row>
    <row r="31" spans="2:20">
      <c r="B31" s="20" t="s">
        <v>191</v>
      </c>
      <c r="C31" s="21">
        <v>5.4000000000000001E-4</v>
      </c>
      <c r="D31" s="22">
        <f>D22</f>
        <v>0.30166999999999999</v>
      </c>
      <c r="E31" s="21">
        <f>E22</f>
        <v>100</v>
      </c>
      <c r="F31" s="33">
        <f>(C31*((D31)^0.91)*((E31)^1.02))</f>
        <v>1.9896101692321179E-2</v>
      </c>
      <c r="G31" s="23">
        <f>G22</f>
        <v>13868.3616</v>
      </c>
      <c r="H31" s="24">
        <f t="shared" ref="H31:H32" si="8">F31*G31</f>
        <v>275.92633269948203</v>
      </c>
      <c r="I31" s="22">
        <f t="shared" ref="I31:I32" si="9">H31/2000</f>
        <v>0.13796316634974101</v>
      </c>
      <c r="J31" s="21">
        <v>90</v>
      </c>
      <c r="K31" s="33">
        <f t="shared" ref="K31:K32" si="10">I31*((100-J31)/100)</f>
        <v>1.3796316634974102E-2</v>
      </c>
    </row>
    <row r="32" spans="2:20">
      <c r="B32" s="20" t="s">
        <v>192</v>
      </c>
      <c r="C32" s="21">
        <v>5.4000000000000001E-4</v>
      </c>
      <c r="D32" s="22">
        <f>D23</f>
        <v>0.30166999999999999</v>
      </c>
      <c r="E32" s="21">
        <f>E23</f>
        <v>75</v>
      </c>
      <c r="F32" s="33">
        <f t="shared" ref="F32" si="11">(C32*((D32)^0.91)*((E32)^1.02))</f>
        <v>1.4836466512805452E-2</v>
      </c>
      <c r="G32" s="23">
        <f>G23</f>
        <v>13868.3616</v>
      </c>
      <c r="H32" s="24">
        <f t="shared" si="8"/>
        <v>205.75748246587705</v>
      </c>
      <c r="I32" s="22">
        <f t="shared" si="9"/>
        <v>0.10287874123293853</v>
      </c>
      <c r="J32" s="21">
        <v>90</v>
      </c>
      <c r="K32" s="33">
        <f t="shared" si="10"/>
        <v>1.0287874123293853E-2</v>
      </c>
      <c r="O32" s="34"/>
    </row>
    <row r="33" spans="2:14">
      <c r="B33" s="25" t="s">
        <v>193</v>
      </c>
      <c r="C33" s="27"/>
      <c r="D33" s="26"/>
      <c r="E33" s="26"/>
      <c r="F33" s="27"/>
      <c r="G33" s="28">
        <f>SUM(G31:G32)</f>
        <v>27736.7232</v>
      </c>
      <c r="H33" s="29">
        <f>SUM(H31:H32)</f>
        <v>481.68381516535908</v>
      </c>
      <c r="I33" s="30">
        <f>SUM(I31:I32)</f>
        <v>0.24084190758267954</v>
      </c>
      <c r="J33" s="26"/>
      <c r="K33" s="31">
        <f>SUM(K31:K32)</f>
        <v>2.4084190758267954E-2</v>
      </c>
    </row>
    <row r="34" spans="2:14">
      <c r="F34" s="32"/>
    </row>
    <row r="35" spans="2:14">
      <c r="F35" s="32"/>
    </row>
    <row r="36" spans="2:14">
      <c r="B36" s="8" t="s">
        <v>326</v>
      </c>
    </row>
    <row r="37" spans="2:14" ht="7.9" customHeight="1">
      <c r="B37" s="8"/>
    </row>
    <row r="38" spans="2:14">
      <c r="B38" s="9" t="s">
        <v>172</v>
      </c>
    </row>
    <row r="39" spans="2:14">
      <c r="B39" s="10"/>
      <c r="C39" s="11"/>
      <c r="D39" s="11"/>
      <c r="E39" s="11"/>
      <c r="F39" s="11"/>
      <c r="G39" s="11"/>
      <c r="H39" s="11"/>
      <c r="I39" s="11" t="s">
        <v>173</v>
      </c>
      <c r="J39" s="12" t="s">
        <v>162</v>
      </c>
      <c r="K39" s="13"/>
      <c r="L39" s="11" t="s">
        <v>174</v>
      </c>
      <c r="M39" s="11" t="s">
        <v>175</v>
      </c>
    </row>
    <row r="40" spans="2:14">
      <c r="B40" s="14"/>
      <c r="C40" s="15"/>
      <c r="D40" s="15"/>
      <c r="E40" s="15"/>
      <c r="F40" s="15"/>
      <c r="G40" s="15"/>
      <c r="H40" s="15"/>
      <c r="I40" s="15" t="s">
        <v>176</v>
      </c>
      <c r="J40" s="16" t="s">
        <v>86</v>
      </c>
      <c r="K40" s="17"/>
      <c r="L40" s="15" t="s">
        <v>177</v>
      </c>
      <c r="M40" s="15" t="s">
        <v>86</v>
      </c>
    </row>
    <row r="41" spans="2:14">
      <c r="B41" s="14" t="s">
        <v>178</v>
      </c>
      <c r="C41" s="15" t="s">
        <v>179</v>
      </c>
      <c r="D41" s="15" t="s">
        <v>195</v>
      </c>
      <c r="E41" s="15" t="s">
        <v>181</v>
      </c>
      <c r="F41" s="15" t="s">
        <v>196</v>
      </c>
      <c r="G41" s="15" t="s">
        <v>197</v>
      </c>
      <c r="H41" s="15" t="s">
        <v>182</v>
      </c>
      <c r="I41" s="15" t="s">
        <v>183</v>
      </c>
      <c r="J41" s="11" t="s">
        <v>184</v>
      </c>
      <c r="K41" s="11" t="s">
        <v>185</v>
      </c>
      <c r="L41" s="15" t="s">
        <v>161</v>
      </c>
      <c r="M41" s="15" t="s">
        <v>185</v>
      </c>
    </row>
    <row r="42" spans="2:14" ht="13.5" thickBot="1">
      <c r="B42" s="18"/>
      <c r="C42" s="19"/>
      <c r="D42" s="19"/>
      <c r="E42" s="19"/>
      <c r="F42" s="19"/>
      <c r="G42" s="19"/>
      <c r="H42" s="19"/>
      <c r="I42" s="19" t="s">
        <v>187</v>
      </c>
      <c r="J42" s="19" t="s">
        <v>188</v>
      </c>
      <c r="K42" s="19" t="s">
        <v>189</v>
      </c>
      <c r="L42" s="19" t="s">
        <v>190</v>
      </c>
      <c r="M42" s="19" t="s">
        <v>182</v>
      </c>
    </row>
    <row r="43" spans="2:14">
      <c r="B43" s="20" t="s">
        <v>191</v>
      </c>
      <c r="C43" s="21">
        <v>4.9000000000000004</v>
      </c>
      <c r="D43" s="21">
        <v>5.3</v>
      </c>
      <c r="E43" s="21">
        <f>200000/2000</f>
        <v>100</v>
      </c>
      <c r="F43" s="21">
        <v>0.7</v>
      </c>
      <c r="G43" s="21">
        <v>0.45</v>
      </c>
      <c r="H43" s="22">
        <f>C43*((D43/12)^F43)*((E43/3)^G43)</f>
        <v>13.398548476625086</v>
      </c>
      <c r="I43" s="23">
        <f>$C$97</f>
        <v>1046.6688000000001</v>
      </c>
      <c r="J43" s="24">
        <f t="shared" ref="J43:J46" si="12">H43*I43</f>
        <v>14023.842655771008</v>
      </c>
      <c r="K43" s="23">
        <f t="shared" ref="K43:K46" si="13">J43/2000</f>
        <v>7.0119213278855037</v>
      </c>
      <c r="L43" s="21">
        <v>0</v>
      </c>
      <c r="M43" s="35">
        <f t="shared" ref="M43:M46" si="14">K43*((100-L43)/100)</f>
        <v>7.0119213278855037</v>
      </c>
      <c r="N43" s="32"/>
    </row>
    <row r="44" spans="2:14">
      <c r="B44" s="20" t="s">
        <v>192</v>
      </c>
      <c r="C44" s="21">
        <v>4.9000000000000004</v>
      </c>
      <c r="D44" s="21">
        <v>5.3</v>
      </c>
      <c r="E44" s="21">
        <f>150000/2000</f>
        <v>75</v>
      </c>
      <c r="F44" s="21">
        <v>0.7</v>
      </c>
      <c r="G44" s="21">
        <v>0.45</v>
      </c>
      <c r="H44" s="22">
        <f t="shared" ref="H44:H46" si="15">C44*((D44/12)^F44)*((E44/3)^G44)</f>
        <v>11.771595232331768</v>
      </c>
      <c r="I44" s="23">
        <f t="shared" ref="I44" si="16">$C$97</f>
        <v>1046.6688000000001</v>
      </c>
      <c r="J44" s="24">
        <f t="shared" si="12"/>
        <v>12320.961455910414</v>
      </c>
      <c r="K44" s="23">
        <f t="shared" si="13"/>
        <v>6.160480727955207</v>
      </c>
      <c r="L44" s="21">
        <v>0</v>
      </c>
      <c r="M44" s="35">
        <f t="shared" si="14"/>
        <v>6.160480727955207</v>
      </c>
      <c r="N44" s="32"/>
    </row>
    <row r="45" spans="2:14" hidden="1">
      <c r="B45" s="20" t="s">
        <v>191</v>
      </c>
      <c r="C45" s="21">
        <v>4.9000000000000004</v>
      </c>
      <c r="D45" s="21">
        <v>6</v>
      </c>
      <c r="E45" s="21">
        <f>200000/2000</f>
        <v>100</v>
      </c>
      <c r="F45" s="21">
        <v>0.7</v>
      </c>
      <c r="G45" s="21">
        <v>0.45</v>
      </c>
      <c r="H45" s="22">
        <f t="shared" si="15"/>
        <v>14.614047629289653</v>
      </c>
      <c r="I45" s="23"/>
      <c r="J45" s="24">
        <f t="shared" si="12"/>
        <v>0</v>
      </c>
      <c r="K45" s="23">
        <f t="shared" si="13"/>
        <v>0</v>
      </c>
      <c r="L45" s="21">
        <v>90</v>
      </c>
      <c r="M45" s="35">
        <f t="shared" si="14"/>
        <v>0</v>
      </c>
      <c r="N45" s="32"/>
    </row>
    <row r="46" spans="2:14" hidden="1">
      <c r="B46" s="20" t="s">
        <v>192</v>
      </c>
      <c r="C46" s="21">
        <v>4.9000000000000004</v>
      </c>
      <c r="D46" s="21">
        <v>6</v>
      </c>
      <c r="E46" s="21">
        <f>150000/2000</f>
        <v>75</v>
      </c>
      <c r="F46" s="21">
        <v>0.7</v>
      </c>
      <c r="G46" s="21">
        <v>0.45</v>
      </c>
      <c r="H46" s="22">
        <f t="shared" si="15"/>
        <v>12.839499270994736</v>
      </c>
      <c r="I46" s="23"/>
      <c r="J46" s="24">
        <f t="shared" si="12"/>
        <v>0</v>
      </c>
      <c r="K46" s="23">
        <f t="shared" si="13"/>
        <v>0</v>
      </c>
      <c r="L46" s="21">
        <v>90</v>
      </c>
      <c r="M46" s="35">
        <f t="shared" si="14"/>
        <v>0</v>
      </c>
      <c r="N46" s="32"/>
    </row>
    <row r="47" spans="2:14">
      <c r="B47" s="25" t="s">
        <v>193</v>
      </c>
      <c r="C47" s="26"/>
      <c r="D47" s="26"/>
      <c r="E47" s="26"/>
      <c r="F47" s="26"/>
      <c r="G47" s="26"/>
      <c r="H47" s="27"/>
      <c r="I47" s="28">
        <f>SUM(I43:I46)</f>
        <v>2093.3376000000003</v>
      </c>
      <c r="J47" s="29">
        <f>SUM(J43:J46)</f>
        <v>26344.80411168142</v>
      </c>
      <c r="K47" s="29">
        <f>SUM(K43:K46)</f>
        <v>13.17240205584071</v>
      </c>
      <c r="L47" s="26"/>
      <c r="M47" s="31">
        <f>SUM(M43:M46)</f>
        <v>13.17240205584071</v>
      </c>
    </row>
    <row r="49" spans="2:13">
      <c r="B49" s="9" t="s">
        <v>57</v>
      </c>
    </row>
    <row r="50" spans="2:13">
      <c r="B50" s="10"/>
      <c r="C50" s="11"/>
      <c r="D50" s="11"/>
      <c r="E50" s="11"/>
      <c r="F50" s="11"/>
      <c r="G50" s="11"/>
      <c r="H50" s="11"/>
      <c r="I50" s="11" t="s">
        <v>173</v>
      </c>
      <c r="J50" s="12" t="s">
        <v>162</v>
      </c>
      <c r="K50" s="13"/>
      <c r="L50" s="11" t="s">
        <v>174</v>
      </c>
      <c r="M50" s="11" t="s">
        <v>175</v>
      </c>
    </row>
    <row r="51" spans="2:13">
      <c r="B51" s="14"/>
      <c r="C51" s="15"/>
      <c r="D51" s="15"/>
      <c r="E51" s="15"/>
      <c r="F51" s="15"/>
      <c r="G51" s="15"/>
      <c r="H51" s="15"/>
      <c r="I51" s="15" t="s">
        <v>176</v>
      </c>
      <c r="J51" s="16" t="s">
        <v>86</v>
      </c>
      <c r="K51" s="17"/>
      <c r="L51" s="15" t="s">
        <v>177</v>
      </c>
      <c r="M51" s="15" t="s">
        <v>86</v>
      </c>
    </row>
    <row r="52" spans="2:13">
      <c r="B52" s="14" t="s">
        <v>178</v>
      </c>
      <c r="C52" s="15" t="s">
        <v>179</v>
      </c>
      <c r="D52" s="15" t="s">
        <v>195</v>
      </c>
      <c r="E52" s="15" t="s">
        <v>181</v>
      </c>
      <c r="F52" s="15" t="s">
        <v>196</v>
      </c>
      <c r="G52" s="15" t="s">
        <v>197</v>
      </c>
      <c r="H52" s="15" t="s">
        <v>182</v>
      </c>
      <c r="I52" s="15" t="s">
        <v>183</v>
      </c>
      <c r="J52" s="11" t="s">
        <v>184</v>
      </c>
      <c r="K52" s="11" t="s">
        <v>185</v>
      </c>
      <c r="L52" s="15" t="s">
        <v>161</v>
      </c>
      <c r="M52" s="15" t="s">
        <v>185</v>
      </c>
    </row>
    <row r="53" spans="2:13" ht="13.5" thickBot="1">
      <c r="B53" s="18"/>
      <c r="C53" s="19"/>
      <c r="D53" s="19"/>
      <c r="E53" s="19"/>
      <c r="F53" s="19"/>
      <c r="G53" s="19"/>
      <c r="H53" s="19"/>
      <c r="I53" s="19" t="s">
        <v>187</v>
      </c>
      <c r="J53" s="19" t="s">
        <v>188</v>
      </c>
      <c r="K53" s="19" t="s">
        <v>189</v>
      </c>
      <c r="L53" s="19" t="s">
        <v>190</v>
      </c>
      <c r="M53" s="19" t="s">
        <v>182</v>
      </c>
    </row>
    <row r="54" spans="2:13" ht="27" customHeight="1">
      <c r="B54" s="20" t="s">
        <v>191</v>
      </c>
      <c r="C54" s="21">
        <v>1.5</v>
      </c>
      <c r="D54" s="21">
        <f t="shared" ref="D54:E57" si="17">D43</f>
        <v>5.3</v>
      </c>
      <c r="E54" s="21">
        <f t="shared" si="17"/>
        <v>100</v>
      </c>
      <c r="F54" s="21">
        <v>0.9</v>
      </c>
      <c r="G54" s="21">
        <f>G43</f>
        <v>0.45</v>
      </c>
      <c r="H54" s="22">
        <f>C54*((D54/12)^F54)*((E54/3)^G54)</f>
        <v>3.483147418347829</v>
      </c>
      <c r="I54" s="23">
        <f>I43</f>
        <v>1046.6688000000001</v>
      </c>
      <c r="J54" s="24">
        <f t="shared" ref="J54:J57" si="18">H54*I54</f>
        <v>3645.7017285852207</v>
      </c>
      <c r="K54" s="23">
        <f t="shared" ref="K54:K57" si="19">J54/2000</f>
        <v>1.8228508642926105</v>
      </c>
      <c r="L54" s="21">
        <f>L43</f>
        <v>0</v>
      </c>
      <c r="M54" s="35">
        <f t="shared" ref="M54:M57" si="20">K54*((100-L54)/100)</f>
        <v>1.8228508642926105</v>
      </c>
    </row>
    <row r="55" spans="2:13">
      <c r="B55" s="20" t="s">
        <v>192</v>
      </c>
      <c r="C55" s="21">
        <v>1.5</v>
      </c>
      <c r="D55" s="21">
        <f t="shared" si="17"/>
        <v>5.3</v>
      </c>
      <c r="E55" s="21">
        <f t="shared" si="17"/>
        <v>75</v>
      </c>
      <c r="F55" s="21">
        <v>0.9</v>
      </c>
      <c r="G55" s="21">
        <f>G44</f>
        <v>0.45</v>
      </c>
      <c r="H55" s="22">
        <f t="shared" ref="H55:H57" si="21">C55*((D55/12)^F55)*((E55/3)^G55)</f>
        <v>3.0601972754633722</v>
      </c>
      <c r="I55" s="23">
        <f>I44</f>
        <v>1046.6688000000001</v>
      </c>
      <c r="J55" s="24">
        <f t="shared" si="18"/>
        <v>3203.0130100725178</v>
      </c>
      <c r="K55" s="23">
        <f t="shared" si="19"/>
        <v>1.6015065050362589</v>
      </c>
      <c r="L55" s="21">
        <f>L44</f>
        <v>0</v>
      </c>
      <c r="M55" s="35">
        <f t="shared" si="20"/>
        <v>1.6015065050362589</v>
      </c>
    </row>
    <row r="56" spans="2:13" hidden="1">
      <c r="B56" s="20" t="s">
        <v>191</v>
      </c>
      <c r="C56" s="21">
        <v>1.5</v>
      </c>
      <c r="D56" s="21">
        <f t="shared" si="17"/>
        <v>6</v>
      </c>
      <c r="E56" s="21">
        <f t="shared" si="17"/>
        <v>100</v>
      </c>
      <c r="F56" s="21">
        <v>0.9</v>
      </c>
      <c r="G56" s="21">
        <f>G45</f>
        <v>0.45</v>
      </c>
      <c r="H56" s="22">
        <f t="shared" si="21"/>
        <v>3.8945716517493345</v>
      </c>
      <c r="I56" s="23">
        <f>I45</f>
        <v>0</v>
      </c>
      <c r="J56" s="24">
        <f t="shared" si="18"/>
        <v>0</v>
      </c>
      <c r="K56" s="23">
        <f t="shared" si="19"/>
        <v>0</v>
      </c>
      <c r="L56" s="21">
        <f>L45</f>
        <v>90</v>
      </c>
      <c r="M56" s="35">
        <f t="shared" si="20"/>
        <v>0</v>
      </c>
    </row>
    <row r="57" spans="2:13" hidden="1">
      <c r="B57" s="20" t="s">
        <v>192</v>
      </c>
      <c r="C57" s="21">
        <v>1.5</v>
      </c>
      <c r="D57" s="21">
        <f t="shared" si="17"/>
        <v>6</v>
      </c>
      <c r="E57" s="21">
        <f t="shared" si="17"/>
        <v>75</v>
      </c>
      <c r="F57" s="21">
        <v>0.9</v>
      </c>
      <c r="G57" s="21">
        <f>G46</f>
        <v>0.45</v>
      </c>
      <c r="H57" s="22">
        <f t="shared" si="21"/>
        <v>3.4216632620830536</v>
      </c>
      <c r="I57" s="23">
        <f>I46</f>
        <v>0</v>
      </c>
      <c r="J57" s="24">
        <f t="shared" si="18"/>
        <v>0</v>
      </c>
      <c r="K57" s="23">
        <f t="shared" si="19"/>
        <v>0</v>
      </c>
      <c r="L57" s="21">
        <f>L46</f>
        <v>90</v>
      </c>
      <c r="M57" s="35">
        <f t="shared" si="20"/>
        <v>0</v>
      </c>
    </row>
    <row r="58" spans="2:13">
      <c r="B58" s="25" t="s">
        <v>193</v>
      </c>
      <c r="C58" s="26"/>
      <c r="D58" s="26"/>
      <c r="E58" s="26"/>
      <c r="F58" s="26"/>
      <c r="G58" s="26"/>
      <c r="H58" s="27"/>
      <c r="I58" s="28">
        <f>SUM(I54:I57)</f>
        <v>2093.3376000000003</v>
      </c>
      <c r="J58" s="29">
        <f>SUM(J54:J57)</f>
        <v>6848.7147386577381</v>
      </c>
      <c r="K58" s="29">
        <f>SUM(K54:K57)</f>
        <v>3.4243573693288694</v>
      </c>
      <c r="L58" s="26"/>
      <c r="M58" s="31">
        <f>SUM(M54:M57)</f>
        <v>3.4243573693288694</v>
      </c>
    </row>
    <row r="60" spans="2:13">
      <c r="B60" s="9" t="s">
        <v>58</v>
      </c>
    </row>
    <row r="61" spans="2:13">
      <c r="B61" s="10"/>
      <c r="C61" s="11"/>
      <c r="D61" s="11"/>
      <c r="E61" s="11"/>
      <c r="F61" s="11"/>
      <c r="G61" s="11"/>
      <c r="H61" s="11"/>
      <c r="I61" s="11" t="s">
        <v>173</v>
      </c>
      <c r="J61" s="12" t="s">
        <v>162</v>
      </c>
      <c r="K61" s="13"/>
      <c r="L61" s="11" t="s">
        <v>174</v>
      </c>
      <c r="M61" s="11" t="s">
        <v>175</v>
      </c>
    </row>
    <row r="62" spans="2:13">
      <c r="B62" s="14"/>
      <c r="C62" s="15"/>
      <c r="D62" s="15"/>
      <c r="E62" s="15"/>
      <c r="F62" s="15"/>
      <c r="G62" s="15"/>
      <c r="H62" s="15"/>
      <c r="I62" s="15" t="s">
        <v>176</v>
      </c>
      <c r="J62" s="16" t="s">
        <v>86</v>
      </c>
      <c r="K62" s="17"/>
      <c r="L62" s="15" t="s">
        <v>177</v>
      </c>
      <c r="M62" s="15" t="s">
        <v>86</v>
      </c>
    </row>
    <row r="63" spans="2:13">
      <c r="B63" s="14" t="s">
        <v>178</v>
      </c>
      <c r="C63" s="15" t="s">
        <v>179</v>
      </c>
      <c r="D63" s="15" t="s">
        <v>195</v>
      </c>
      <c r="E63" s="15" t="s">
        <v>181</v>
      </c>
      <c r="F63" s="15" t="s">
        <v>196</v>
      </c>
      <c r="G63" s="15" t="s">
        <v>197</v>
      </c>
      <c r="H63" s="15" t="s">
        <v>182</v>
      </c>
      <c r="I63" s="15" t="s">
        <v>183</v>
      </c>
      <c r="J63" s="11" t="s">
        <v>184</v>
      </c>
      <c r="K63" s="11" t="s">
        <v>185</v>
      </c>
      <c r="L63" s="15" t="s">
        <v>161</v>
      </c>
      <c r="M63" s="15" t="s">
        <v>185</v>
      </c>
    </row>
    <row r="64" spans="2:13" ht="13.5" thickBot="1">
      <c r="B64" s="18"/>
      <c r="C64" s="19"/>
      <c r="D64" s="19"/>
      <c r="E64" s="19"/>
      <c r="F64" s="19"/>
      <c r="G64" s="19"/>
      <c r="H64" s="19"/>
      <c r="I64" s="19" t="s">
        <v>187</v>
      </c>
      <c r="J64" s="19" t="s">
        <v>188</v>
      </c>
      <c r="K64" s="19" t="s">
        <v>189</v>
      </c>
      <c r="L64" s="19" t="s">
        <v>190</v>
      </c>
      <c r="M64" s="19" t="s">
        <v>182</v>
      </c>
    </row>
    <row r="65" spans="2:13">
      <c r="B65" s="20" t="s">
        <v>191</v>
      </c>
      <c r="C65" s="21">
        <v>0.15</v>
      </c>
      <c r="D65" s="21">
        <f t="shared" ref="D65:G68" si="22">D54</f>
        <v>5.3</v>
      </c>
      <c r="E65" s="21">
        <f t="shared" si="22"/>
        <v>100</v>
      </c>
      <c r="F65" s="21">
        <f t="shared" si="22"/>
        <v>0.9</v>
      </c>
      <c r="G65" s="21">
        <f t="shared" si="22"/>
        <v>0.45</v>
      </c>
      <c r="H65" s="22">
        <f>C65*((D65/12)^F65)*((E65/3)^G65)</f>
        <v>0.34831474183478289</v>
      </c>
      <c r="I65" s="23">
        <f>I54</f>
        <v>1046.6688000000001</v>
      </c>
      <c r="J65" s="24">
        <f>H65*I65</f>
        <v>364.57017285852208</v>
      </c>
      <c r="K65" s="23">
        <f t="shared" ref="K65:K68" si="23">J65/2000</f>
        <v>0.18228508642926106</v>
      </c>
      <c r="L65" s="21">
        <f>L54</f>
        <v>0</v>
      </c>
      <c r="M65" s="35">
        <f>K65*((100-L65)/100)</f>
        <v>0.18228508642926106</v>
      </c>
    </row>
    <row r="66" spans="2:13">
      <c r="B66" s="20" t="s">
        <v>192</v>
      </c>
      <c r="C66" s="21">
        <v>0.15</v>
      </c>
      <c r="D66" s="21">
        <f t="shared" si="22"/>
        <v>5.3</v>
      </c>
      <c r="E66" s="21">
        <f t="shared" si="22"/>
        <v>75</v>
      </c>
      <c r="F66" s="21">
        <f t="shared" si="22"/>
        <v>0.9</v>
      </c>
      <c r="G66" s="21">
        <f t="shared" si="22"/>
        <v>0.45</v>
      </c>
      <c r="H66" s="22">
        <f t="shared" ref="H66:H68" si="24">C66*((D66/12)^F66)*((E66/3)^G66)</f>
        <v>0.30601972754633722</v>
      </c>
      <c r="I66" s="23">
        <f>I55</f>
        <v>1046.6688000000001</v>
      </c>
      <c r="J66" s="24">
        <f t="shared" ref="J66:J68" si="25">H66*I66</f>
        <v>320.30130100725177</v>
      </c>
      <c r="K66" s="23">
        <f t="shared" si="23"/>
        <v>0.1601506505036259</v>
      </c>
      <c r="L66" s="21">
        <f>L55</f>
        <v>0</v>
      </c>
      <c r="M66" s="35">
        <f t="shared" ref="M66:M67" si="26">K66*((100-L66)/100)</f>
        <v>0.1601506505036259</v>
      </c>
    </row>
    <row r="67" spans="2:13" hidden="1">
      <c r="B67" s="20" t="s">
        <v>191</v>
      </c>
      <c r="C67" s="21">
        <v>0.15</v>
      </c>
      <c r="D67" s="21">
        <f t="shared" si="22"/>
        <v>6</v>
      </c>
      <c r="E67" s="21">
        <f t="shared" si="22"/>
        <v>100</v>
      </c>
      <c r="F67" s="21">
        <f t="shared" si="22"/>
        <v>0.9</v>
      </c>
      <c r="G67" s="21">
        <f t="shared" si="22"/>
        <v>0.45</v>
      </c>
      <c r="H67" s="22">
        <f t="shared" si="24"/>
        <v>0.3894571651749334</v>
      </c>
      <c r="I67" s="23">
        <f>I56</f>
        <v>0</v>
      </c>
      <c r="J67" s="24">
        <f t="shared" si="25"/>
        <v>0</v>
      </c>
      <c r="K67" s="23">
        <f t="shared" si="23"/>
        <v>0</v>
      </c>
      <c r="L67" s="21">
        <f>L56</f>
        <v>90</v>
      </c>
      <c r="M67" s="35">
        <f t="shared" si="26"/>
        <v>0</v>
      </c>
    </row>
    <row r="68" spans="2:13" hidden="1">
      <c r="B68" s="20" t="s">
        <v>192</v>
      </c>
      <c r="C68" s="21">
        <v>0.15</v>
      </c>
      <c r="D68" s="21">
        <f t="shared" si="22"/>
        <v>6</v>
      </c>
      <c r="E68" s="21">
        <f t="shared" si="22"/>
        <v>75</v>
      </c>
      <c r="F68" s="21">
        <f t="shared" si="22"/>
        <v>0.9</v>
      </c>
      <c r="G68" s="21">
        <f t="shared" si="22"/>
        <v>0.45</v>
      </c>
      <c r="H68" s="22">
        <f t="shared" si="24"/>
        <v>0.34216632620830534</v>
      </c>
      <c r="I68" s="23">
        <f>I57</f>
        <v>0</v>
      </c>
      <c r="J68" s="24">
        <f t="shared" si="25"/>
        <v>0</v>
      </c>
      <c r="K68" s="23">
        <f t="shared" si="23"/>
        <v>0</v>
      </c>
      <c r="L68" s="21">
        <f>L57</f>
        <v>90</v>
      </c>
      <c r="M68" s="35">
        <f>K68*((100-L68)/100)</f>
        <v>0</v>
      </c>
    </row>
    <row r="69" spans="2:13">
      <c r="B69" s="25" t="s">
        <v>193</v>
      </c>
      <c r="C69" s="27"/>
      <c r="D69" s="26"/>
      <c r="E69" s="26"/>
      <c r="F69" s="26"/>
      <c r="G69" s="26"/>
      <c r="H69" s="27"/>
      <c r="I69" s="28">
        <f>SUM(I65:I68)</f>
        <v>2093.3376000000003</v>
      </c>
      <c r="J69" s="29">
        <f>SUM(J65:J68)</f>
        <v>684.87147386577385</v>
      </c>
      <c r="K69" s="29">
        <f>SUM(K65:K68)</f>
        <v>0.34243573693288698</v>
      </c>
      <c r="L69" s="26"/>
      <c r="M69" s="31">
        <f>SUM(M65:M68)</f>
        <v>0.34243573693288698</v>
      </c>
    </row>
    <row r="71" spans="2:13">
      <c r="B71" s="2" t="s">
        <v>198</v>
      </c>
    </row>
    <row r="72" spans="2:13">
      <c r="B72" s="2" t="s">
        <v>199</v>
      </c>
    </row>
    <row r="73" spans="2:13" ht="15">
      <c r="B73" s="2" t="s">
        <v>200</v>
      </c>
      <c r="C73" s="2" t="s">
        <v>201</v>
      </c>
    </row>
    <row r="74" spans="2:13">
      <c r="C74" s="2" t="s">
        <v>202</v>
      </c>
    </row>
    <row r="75" spans="2:13">
      <c r="C75" s="36" t="s">
        <v>203</v>
      </c>
    </row>
    <row r="76" spans="2:13" ht="15">
      <c r="C76" s="2" t="s">
        <v>204</v>
      </c>
    </row>
    <row r="77" spans="2:13">
      <c r="C77" s="2" t="s">
        <v>205</v>
      </c>
    </row>
    <row r="78" spans="2:13">
      <c r="B78" s="2" t="s">
        <v>206</v>
      </c>
    </row>
    <row r="79" spans="2:13" ht="15">
      <c r="B79" s="2" t="s">
        <v>207</v>
      </c>
      <c r="C79" s="2" t="s">
        <v>201</v>
      </c>
    </row>
    <row r="80" spans="2:13">
      <c r="C80" s="2" t="s">
        <v>208</v>
      </c>
    </row>
    <row r="81" spans="2:5">
      <c r="C81" s="2" t="s">
        <v>209</v>
      </c>
    </row>
    <row r="82" spans="2:5">
      <c r="C82" s="2" t="s">
        <v>210</v>
      </c>
    </row>
    <row r="83" spans="2:5">
      <c r="B83" s="2" t="s">
        <v>323</v>
      </c>
    </row>
    <row r="84" spans="2:5">
      <c r="B84" s="36" t="s">
        <v>324</v>
      </c>
    </row>
    <row r="85" spans="2:5">
      <c r="B85" s="2" t="s">
        <v>214</v>
      </c>
    </row>
    <row r="86" spans="2:5">
      <c r="B86" s="2" t="s">
        <v>215</v>
      </c>
    </row>
    <row r="87" spans="2:5">
      <c r="B87" s="2" t="s">
        <v>216</v>
      </c>
    </row>
    <row r="88" spans="2:5">
      <c r="B88" s="2" t="s">
        <v>217</v>
      </c>
    </row>
    <row r="90" spans="2:5">
      <c r="B90" s="2" t="s">
        <v>218</v>
      </c>
      <c r="C90" s="37">
        <f>_xlfn.XLOOKUP(E90,'8b. Baseline Emissions_Other'!$B:$B,'8b. Baseline Emissions_Other'!$D:$D)</f>
        <v>436112</v>
      </c>
      <c r="D90" s="2" t="s">
        <v>80</v>
      </c>
      <c r="E90" s="2">
        <v>2019</v>
      </c>
    </row>
    <row r="91" spans="2:5">
      <c r="B91" s="2" t="s">
        <v>219</v>
      </c>
      <c r="C91" s="2">
        <f>SUM(C94:C95)</f>
        <v>0.85500000000000009</v>
      </c>
      <c r="D91" s="2" t="s">
        <v>220</v>
      </c>
    </row>
    <row r="92" spans="2:5">
      <c r="B92" s="2" t="s">
        <v>221</v>
      </c>
      <c r="C92" s="2">
        <f>E13-E14</f>
        <v>25</v>
      </c>
      <c r="D92" s="2" t="s">
        <v>222</v>
      </c>
    </row>
    <row r="93" spans="2:5">
      <c r="B93" s="2" t="s">
        <v>223</v>
      </c>
      <c r="C93" s="2">
        <f>C90/C92</f>
        <v>17444.48</v>
      </c>
      <c r="D93" s="2" t="s">
        <v>224</v>
      </c>
    </row>
    <row r="94" spans="2:5">
      <c r="B94" s="2" t="s">
        <v>228</v>
      </c>
      <c r="C94" s="2">
        <f>AVERAGE(0.79, 0.8)</f>
        <v>0.79500000000000004</v>
      </c>
      <c r="D94" s="2" t="s">
        <v>229</v>
      </c>
      <c r="E94" s="2" t="s">
        <v>230</v>
      </c>
    </row>
    <row r="95" spans="2:5">
      <c r="B95" s="2" t="s">
        <v>231</v>
      </c>
      <c r="C95" s="2">
        <f>AVERAGE(0.07,0.05)</f>
        <v>6.0000000000000005E-2</v>
      </c>
      <c r="D95" s="2" t="s">
        <v>229</v>
      </c>
      <c r="E95" s="2" t="s">
        <v>230</v>
      </c>
    </row>
    <row r="96" spans="2:5">
      <c r="B96" s="2" t="s">
        <v>232</v>
      </c>
      <c r="C96" s="2">
        <f>C94*C93</f>
        <v>13868.3616</v>
      </c>
      <c r="D96" s="2" t="s">
        <v>233</v>
      </c>
    </row>
    <row r="97" spans="2:4">
      <c r="B97" s="2" t="s">
        <v>235</v>
      </c>
      <c r="C97" s="2">
        <f>C95*C93</f>
        <v>1046.6688000000001</v>
      </c>
      <c r="D97" s="2" t="s">
        <v>233</v>
      </c>
    </row>
  </sheetData>
  <pageMargins left="0.7" right="0.7" top="0.75" bottom="0.75" header="0.3" footer="0.3"/>
  <pageSetup scale="66" fitToHeight="2" orientation="landscape" r:id="rId1"/>
  <rowBreaks count="1" manualBreakCount="1">
    <brk id="35" min="1" max="1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A6768-C6F3-453D-9CFE-54A6861C0C7E}">
  <sheetPr>
    <tabColor theme="0"/>
  </sheetPr>
  <dimension ref="B2:T97"/>
  <sheetViews>
    <sheetView topLeftCell="A32" zoomScale="150" zoomScaleNormal="150" zoomScaleSheetLayoutView="140" workbookViewId="0">
      <selection activeCell="L46" sqref="L46"/>
    </sheetView>
  </sheetViews>
  <sheetFormatPr defaultColWidth="8.85546875" defaultRowHeight="12.75"/>
  <cols>
    <col min="1" max="1" width="4.140625" style="2" customWidth="1"/>
    <col min="2" max="2" width="29.5703125" style="2" customWidth="1"/>
    <col min="3" max="3" width="9.85546875" style="2" customWidth="1"/>
    <col min="4" max="5" width="10.140625" style="2" customWidth="1"/>
    <col min="6" max="6" width="12.5703125" style="2" customWidth="1"/>
    <col min="7" max="7" width="10.85546875" style="2" customWidth="1"/>
    <col min="8" max="9" width="8.85546875" style="2"/>
    <col min="10" max="10" width="10.5703125" style="2" customWidth="1"/>
    <col min="11" max="11" width="12" style="2" customWidth="1"/>
    <col min="12" max="12" width="8.85546875" style="2"/>
    <col min="13" max="13" width="10.5703125" style="2" customWidth="1"/>
    <col min="14" max="14" width="11.85546875" style="2" customWidth="1"/>
    <col min="15" max="16384" width="8.85546875" style="2"/>
  </cols>
  <sheetData>
    <row r="2" spans="2:11">
      <c r="B2" s="6" t="s">
        <v>0</v>
      </c>
      <c r="C2" s="7" t="str">
        <f>'1. Step 1 Evaluation'!C2</f>
        <v>U. S. Steel</v>
      </c>
    </row>
    <row r="3" spans="2:11">
      <c r="B3" s="6" t="s">
        <v>2</v>
      </c>
      <c r="C3" s="7" t="str">
        <f>'1. Step 1 Evaluation'!C3</f>
        <v>Edgar Thomson Plant</v>
      </c>
    </row>
    <row r="4" spans="2:11">
      <c r="B4" s="6" t="s">
        <v>4</v>
      </c>
      <c r="C4" s="7" t="str">
        <f>'1. Step 1 Evaluation'!C4</f>
        <v>Slag Recycler Project</v>
      </c>
    </row>
    <row r="5" spans="2:11" ht="9.75" customHeight="1"/>
    <row r="6" spans="2:11">
      <c r="B6" s="8" t="s">
        <v>327</v>
      </c>
    </row>
    <row r="7" spans="2:11" ht="6" customHeight="1">
      <c r="B7" s="8"/>
    </row>
    <row r="8" spans="2:11">
      <c r="B8" s="9" t="s">
        <v>172</v>
      </c>
    </row>
    <row r="9" spans="2:11">
      <c r="B9" s="10"/>
      <c r="C9" s="11"/>
      <c r="D9" s="11"/>
      <c r="E9" s="11"/>
      <c r="F9" s="11"/>
      <c r="G9" s="11" t="s">
        <v>173</v>
      </c>
      <c r="H9" s="12" t="s">
        <v>162</v>
      </c>
      <c r="I9" s="13"/>
      <c r="J9" s="11" t="s">
        <v>174</v>
      </c>
      <c r="K9" s="11" t="s">
        <v>175</v>
      </c>
    </row>
    <row r="10" spans="2:11">
      <c r="B10" s="14"/>
      <c r="C10" s="15"/>
      <c r="D10" s="15"/>
      <c r="E10" s="15"/>
      <c r="F10" s="15"/>
      <c r="G10" s="15" t="s">
        <v>176</v>
      </c>
      <c r="H10" s="16" t="s">
        <v>86</v>
      </c>
      <c r="I10" s="17"/>
      <c r="J10" s="15" t="s">
        <v>177</v>
      </c>
      <c r="K10" s="15" t="s">
        <v>86</v>
      </c>
    </row>
    <row r="11" spans="2:11">
      <c r="B11" s="14" t="s">
        <v>178</v>
      </c>
      <c r="C11" s="15" t="s">
        <v>179</v>
      </c>
      <c r="D11" s="15" t="s">
        <v>180</v>
      </c>
      <c r="E11" s="15" t="s">
        <v>181</v>
      </c>
      <c r="F11" s="15" t="s">
        <v>182</v>
      </c>
      <c r="G11" s="15" t="s">
        <v>183</v>
      </c>
      <c r="H11" s="11" t="s">
        <v>184</v>
      </c>
      <c r="I11" s="11" t="s">
        <v>185</v>
      </c>
      <c r="J11" s="15" t="s">
        <v>161</v>
      </c>
      <c r="K11" s="15" t="s">
        <v>185</v>
      </c>
    </row>
    <row r="12" spans="2:11" ht="13.5" thickBot="1">
      <c r="B12" s="18"/>
      <c r="C12" s="19"/>
      <c r="D12" s="19"/>
      <c r="E12" s="19"/>
      <c r="F12" s="19" t="s">
        <v>186</v>
      </c>
      <c r="G12" s="19" t="s">
        <v>187</v>
      </c>
      <c r="H12" s="19" t="s">
        <v>188</v>
      </c>
      <c r="I12" s="19" t="s">
        <v>189</v>
      </c>
      <c r="J12" s="19" t="s">
        <v>190</v>
      </c>
      <c r="K12" s="19" t="s">
        <v>182</v>
      </c>
    </row>
    <row r="13" spans="2:11">
      <c r="B13" s="20" t="s">
        <v>191</v>
      </c>
      <c r="C13" s="21">
        <v>1.0999999999999999E-2</v>
      </c>
      <c r="D13" s="22">
        <v>0.30166999999999999</v>
      </c>
      <c r="E13" s="21">
        <f>200000/2000</f>
        <v>100</v>
      </c>
      <c r="F13" s="22">
        <f>(C13*((D13)^0.91)*((E13)^1.02))</f>
        <v>0.40529096039913509</v>
      </c>
      <c r="G13" s="23">
        <f>$C$96</f>
        <v>15401.694000000001</v>
      </c>
      <c r="H13" s="24">
        <f t="shared" ref="H13:H14" si="0">F13*G13</f>
        <v>6242.1673530335975</v>
      </c>
      <c r="I13" s="22">
        <f t="shared" ref="I13:I14" si="1">H13/2000</f>
        <v>3.1210836765167986</v>
      </c>
      <c r="J13" s="21">
        <v>90</v>
      </c>
      <c r="K13" s="22">
        <f t="shared" ref="K13:K14" si="2">I13*((100-J13)/100)</f>
        <v>0.31210836765167987</v>
      </c>
    </row>
    <row r="14" spans="2:11">
      <c r="B14" s="20" t="s">
        <v>192</v>
      </c>
      <c r="C14" s="21">
        <v>1.0999999999999999E-2</v>
      </c>
      <c r="D14" s="22">
        <v>0.30166999999999999</v>
      </c>
      <c r="E14" s="21">
        <f>150000/2000</f>
        <v>75</v>
      </c>
      <c r="F14" s="22">
        <f t="shared" ref="F14" si="3">(C14*((D14)^0.91)*((E14)^1.02))</f>
        <v>0.30222431785344439</v>
      </c>
      <c r="G14" s="23">
        <f>$C$96</f>
        <v>15401.694000000001</v>
      </c>
      <c r="H14" s="24">
        <f t="shared" si="0"/>
        <v>4654.7664629374876</v>
      </c>
      <c r="I14" s="22">
        <f t="shared" si="1"/>
        <v>2.3273832314687439</v>
      </c>
      <c r="J14" s="21">
        <v>90</v>
      </c>
      <c r="K14" s="22">
        <f t="shared" si="2"/>
        <v>0.2327383231468744</v>
      </c>
    </row>
    <row r="15" spans="2:11">
      <c r="B15" s="25" t="s">
        <v>193</v>
      </c>
      <c r="C15" s="26"/>
      <c r="D15" s="26"/>
      <c r="E15" s="26"/>
      <c r="F15" s="27"/>
      <c r="G15" s="28">
        <f>SUM(G13:G14)</f>
        <v>30803.388000000003</v>
      </c>
      <c r="H15" s="29">
        <f>SUM(H13:H14)</f>
        <v>10896.933815971086</v>
      </c>
      <c r="I15" s="30">
        <f>SUM(I13:I14)</f>
        <v>5.4484669079855426</v>
      </c>
      <c r="J15" s="26"/>
      <c r="K15" s="31">
        <f>SUM(K13:K14)</f>
        <v>0.5448466907985543</v>
      </c>
    </row>
    <row r="16" spans="2:11">
      <c r="G16" s="32"/>
    </row>
    <row r="17" spans="2:20">
      <c r="B17" s="9" t="s">
        <v>57</v>
      </c>
    </row>
    <row r="18" spans="2:20">
      <c r="B18" s="10"/>
      <c r="C18" s="11"/>
      <c r="D18" s="11"/>
      <c r="E18" s="11"/>
      <c r="F18" s="11"/>
      <c r="G18" s="11" t="s">
        <v>173</v>
      </c>
      <c r="H18" s="12" t="s">
        <v>162</v>
      </c>
      <c r="I18" s="13"/>
      <c r="J18" s="11" t="s">
        <v>174</v>
      </c>
      <c r="K18" s="11" t="s">
        <v>175</v>
      </c>
    </row>
    <row r="19" spans="2:20">
      <c r="B19" s="14"/>
      <c r="C19" s="15"/>
      <c r="D19" s="419"/>
      <c r="E19" s="15"/>
      <c r="F19" s="419"/>
      <c r="G19" s="15" t="s">
        <v>176</v>
      </c>
      <c r="H19" s="428" t="s">
        <v>86</v>
      </c>
      <c r="I19" s="17"/>
      <c r="J19" s="419" t="s">
        <v>177</v>
      </c>
      <c r="K19" s="15" t="s">
        <v>86</v>
      </c>
      <c r="L19" s="32"/>
      <c r="N19" s="32"/>
      <c r="P19" s="32"/>
      <c r="T19" s="32"/>
    </row>
    <row r="20" spans="2:20">
      <c r="B20" s="14" t="s">
        <v>178</v>
      </c>
      <c r="C20" s="15" t="s">
        <v>179</v>
      </c>
      <c r="D20" s="15" t="s">
        <v>180</v>
      </c>
      <c r="E20" s="15" t="s">
        <v>181</v>
      </c>
      <c r="F20" s="15" t="s">
        <v>182</v>
      </c>
      <c r="G20" s="15" t="s">
        <v>183</v>
      </c>
      <c r="H20" s="11" t="s">
        <v>184</v>
      </c>
      <c r="I20" s="11" t="s">
        <v>185</v>
      </c>
      <c r="J20" s="15" t="s">
        <v>161</v>
      </c>
      <c r="K20" s="15" t="s">
        <v>185</v>
      </c>
    </row>
    <row r="21" spans="2:20" ht="13.5" thickBot="1">
      <c r="B21" s="18"/>
      <c r="C21" s="19"/>
      <c r="D21" s="19"/>
      <c r="E21" s="19"/>
      <c r="F21" s="19" t="s">
        <v>186</v>
      </c>
      <c r="G21" s="19" t="s">
        <v>187</v>
      </c>
      <c r="H21" s="19" t="s">
        <v>188</v>
      </c>
      <c r="I21" s="19" t="s">
        <v>189</v>
      </c>
      <c r="J21" s="19" t="s">
        <v>190</v>
      </c>
      <c r="K21" s="19" t="s">
        <v>182</v>
      </c>
    </row>
    <row r="22" spans="2:20">
      <c r="B22" s="20" t="s">
        <v>191</v>
      </c>
      <c r="C22" s="21">
        <v>2.2000000000000001E-3</v>
      </c>
      <c r="D22" s="22">
        <f>D13</f>
        <v>0.30166999999999999</v>
      </c>
      <c r="E22" s="21">
        <f>E13</f>
        <v>100</v>
      </c>
      <c r="F22" s="33">
        <f>(C22*((D22)^0.91)*((E22)^1.02))</f>
        <v>8.1058192079827035E-2</v>
      </c>
      <c r="G22" s="23">
        <f>G13</f>
        <v>15401.694000000001</v>
      </c>
      <c r="H22" s="24">
        <f t="shared" ref="H22:H23" si="4">F22*G22</f>
        <v>1248.4334706067198</v>
      </c>
      <c r="I22" s="22">
        <f t="shared" ref="I22:I23" si="5">H22/2000</f>
        <v>0.62421673530335986</v>
      </c>
      <c r="J22" s="21">
        <v>90</v>
      </c>
      <c r="K22" s="33">
        <f t="shared" ref="K22:K23" si="6">I22*((100-J22)/100)</f>
        <v>6.2421673530335987E-2</v>
      </c>
    </row>
    <row r="23" spans="2:20">
      <c r="B23" s="20" t="s">
        <v>192</v>
      </c>
      <c r="C23" s="21">
        <v>2.2000000000000001E-3</v>
      </c>
      <c r="D23" s="22">
        <f>D14</f>
        <v>0.30166999999999999</v>
      </c>
      <c r="E23" s="21">
        <f>E14</f>
        <v>75</v>
      </c>
      <c r="F23" s="33">
        <f t="shared" ref="F23" si="7">(C23*((D23)^0.91)*((E23)^1.02))</f>
        <v>6.0444863570688886E-2</v>
      </c>
      <c r="G23" s="23">
        <f>G14</f>
        <v>15401.694000000001</v>
      </c>
      <c r="H23" s="24">
        <f t="shared" si="4"/>
        <v>930.95329258749769</v>
      </c>
      <c r="I23" s="22">
        <f t="shared" si="5"/>
        <v>0.46547664629374885</v>
      </c>
      <c r="J23" s="21">
        <v>90</v>
      </c>
      <c r="K23" s="33">
        <f t="shared" si="6"/>
        <v>4.6547664629374888E-2</v>
      </c>
    </row>
    <row r="24" spans="2:20">
      <c r="B24" s="25" t="s">
        <v>193</v>
      </c>
      <c r="C24" s="26"/>
      <c r="D24" s="26"/>
      <c r="E24" s="26"/>
      <c r="F24" s="27"/>
      <c r="G24" s="28">
        <f>SUM(G22:G23)</f>
        <v>30803.388000000003</v>
      </c>
      <c r="H24" s="29">
        <f>SUM(H22:H23)</f>
        <v>2179.3867631942176</v>
      </c>
      <c r="I24" s="30">
        <f>SUM(I22:I23)</f>
        <v>1.0896933815971086</v>
      </c>
      <c r="J24" s="26"/>
      <c r="K24" s="31">
        <f>SUM(K22:K23)</f>
        <v>0.10896933815971088</v>
      </c>
    </row>
    <row r="25" spans="2:20">
      <c r="G25" s="32"/>
    </row>
    <row r="26" spans="2:20">
      <c r="B26" s="9" t="s">
        <v>58</v>
      </c>
    </row>
    <row r="27" spans="2:20">
      <c r="B27" s="10"/>
      <c r="C27" s="11"/>
      <c r="D27" s="11"/>
      <c r="E27" s="11"/>
      <c r="F27" s="11"/>
      <c r="G27" s="11" t="s">
        <v>173</v>
      </c>
      <c r="H27" s="12" t="s">
        <v>162</v>
      </c>
      <c r="I27" s="13"/>
      <c r="J27" s="11" t="s">
        <v>174</v>
      </c>
      <c r="K27" s="11" t="s">
        <v>175</v>
      </c>
    </row>
    <row r="28" spans="2:20">
      <c r="B28" s="14"/>
      <c r="C28" s="15"/>
      <c r="D28" s="15"/>
      <c r="E28" s="15"/>
      <c r="F28" s="15"/>
      <c r="G28" s="15" t="s">
        <v>176</v>
      </c>
      <c r="H28" s="16" t="s">
        <v>86</v>
      </c>
      <c r="I28" s="17"/>
      <c r="J28" s="15" t="s">
        <v>177</v>
      </c>
      <c r="K28" s="15" t="s">
        <v>86</v>
      </c>
    </row>
    <row r="29" spans="2:20">
      <c r="B29" s="14" t="s">
        <v>178</v>
      </c>
      <c r="C29" s="15" t="s">
        <v>179</v>
      </c>
      <c r="D29" s="15" t="s">
        <v>180</v>
      </c>
      <c r="E29" s="15" t="s">
        <v>181</v>
      </c>
      <c r="F29" s="15" t="s">
        <v>182</v>
      </c>
      <c r="G29" s="15" t="s">
        <v>183</v>
      </c>
      <c r="H29" s="11" t="s">
        <v>184</v>
      </c>
      <c r="I29" s="11" t="s">
        <v>185</v>
      </c>
      <c r="J29" s="15" t="s">
        <v>161</v>
      </c>
      <c r="K29" s="15" t="s">
        <v>185</v>
      </c>
    </row>
    <row r="30" spans="2:20" ht="13.5" thickBot="1">
      <c r="B30" s="18"/>
      <c r="C30" s="19"/>
      <c r="D30" s="19"/>
      <c r="E30" s="19"/>
      <c r="F30" s="19" t="s">
        <v>186</v>
      </c>
      <c r="G30" s="19" t="s">
        <v>187</v>
      </c>
      <c r="H30" s="19" t="s">
        <v>188</v>
      </c>
      <c r="I30" s="19" t="s">
        <v>189</v>
      </c>
      <c r="J30" s="19" t="s">
        <v>190</v>
      </c>
      <c r="K30" s="19" t="s">
        <v>182</v>
      </c>
    </row>
    <row r="31" spans="2:20">
      <c r="B31" s="20" t="s">
        <v>191</v>
      </c>
      <c r="C31" s="21">
        <v>5.4000000000000001E-4</v>
      </c>
      <c r="D31" s="22">
        <f>D22</f>
        <v>0.30166999999999999</v>
      </c>
      <c r="E31" s="21">
        <f>E22</f>
        <v>100</v>
      </c>
      <c r="F31" s="33">
        <f>(C31*((D31)^0.91)*((E31)^1.02))</f>
        <v>1.9896101692321179E-2</v>
      </c>
      <c r="G31" s="23">
        <f>G22</f>
        <v>15401.694000000001</v>
      </c>
      <c r="H31" s="24">
        <f t="shared" ref="H31:H32" si="8">F31*G31</f>
        <v>306.43367005801298</v>
      </c>
      <c r="I31" s="22">
        <f t="shared" ref="I31:I32" si="9">H31/2000</f>
        <v>0.15321683502900649</v>
      </c>
      <c r="J31" s="21">
        <v>90</v>
      </c>
      <c r="K31" s="33">
        <f t="shared" ref="K31:K32" si="10">I31*((100-J31)/100)</f>
        <v>1.5321683502900649E-2</v>
      </c>
    </row>
    <row r="32" spans="2:20">
      <c r="B32" s="20" t="s">
        <v>192</v>
      </c>
      <c r="C32" s="21">
        <v>5.4000000000000001E-4</v>
      </c>
      <c r="D32" s="22">
        <f>D23</f>
        <v>0.30166999999999999</v>
      </c>
      <c r="E32" s="21">
        <f>E23</f>
        <v>75</v>
      </c>
      <c r="F32" s="33">
        <f t="shared" ref="F32" si="11">(C32*((D32)^0.91)*((E32)^1.02))</f>
        <v>1.4836466512805452E-2</v>
      </c>
      <c r="G32" s="23">
        <f>G23</f>
        <v>15401.694000000001</v>
      </c>
      <c r="H32" s="24">
        <f t="shared" si="8"/>
        <v>228.50671727147667</v>
      </c>
      <c r="I32" s="22">
        <f t="shared" si="9"/>
        <v>0.11425335863573834</v>
      </c>
      <c r="J32" s="21">
        <v>90</v>
      </c>
      <c r="K32" s="33">
        <f t="shared" si="10"/>
        <v>1.1425335863573834E-2</v>
      </c>
      <c r="O32" s="34"/>
    </row>
    <row r="33" spans="2:14">
      <c r="B33" s="25" t="s">
        <v>193</v>
      </c>
      <c r="C33" s="27"/>
      <c r="D33" s="26"/>
      <c r="E33" s="26"/>
      <c r="F33" s="27"/>
      <c r="G33" s="28">
        <f>SUM(G31:G32)</f>
        <v>30803.388000000003</v>
      </c>
      <c r="H33" s="29">
        <f>SUM(H31:H32)</f>
        <v>534.94038732948968</v>
      </c>
      <c r="I33" s="30">
        <f>SUM(I31:I32)</f>
        <v>0.26747019366474484</v>
      </c>
      <c r="J33" s="26"/>
      <c r="K33" s="31">
        <f>SUM(K31:K32)</f>
        <v>2.6747019366474483E-2</v>
      </c>
    </row>
    <row r="34" spans="2:14">
      <c r="F34" s="32"/>
    </row>
    <row r="35" spans="2:14">
      <c r="F35" s="32"/>
    </row>
    <row r="36" spans="2:14">
      <c r="B36" s="8" t="s">
        <v>328</v>
      </c>
    </row>
    <row r="37" spans="2:14" ht="7.9" customHeight="1">
      <c r="B37" s="8"/>
    </row>
    <row r="38" spans="2:14">
      <c r="B38" s="9" t="s">
        <v>172</v>
      </c>
    </row>
    <row r="39" spans="2:14">
      <c r="B39" s="10"/>
      <c r="C39" s="11"/>
      <c r="D39" s="11"/>
      <c r="E39" s="11"/>
      <c r="F39" s="11"/>
      <c r="G39" s="11"/>
      <c r="H39" s="11"/>
      <c r="I39" s="11" t="s">
        <v>173</v>
      </c>
      <c r="J39" s="12" t="s">
        <v>162</v>
      </c>
      <c r="K39" s="13"/>
      <c r="L39" s="11" t="s">
        <v>174</v>
      </c>
      <c r="M39" s="11" t="s">
        <v>175</v>
      </c>
    </row>
    <row r="40" spans="2:14">
      <c r="B40" s="14"/>
      <c r="C40" s="15"/>
      <c r="D40" s="15"/>
      <c r="E40" s="15"/>
      <c r="F40" s="15"/>
      <c r="G40" s="15"/>
      <c r="H40" s="15"/>
      <c r="I40" s="15" t="s">
        <v>176</v>
      </c>
      <c r="J40" s="16" t="s">
        <v>86</v>
      </c>
      <c r="K40" s="17"/>
      <c r="L40" s="15" t="s">
        <v>177</v>
      </c>
      <c r="M40" s="15" t="s">
        <v>86</v>
      </c>
    </row>
    <row r="41" spans="2:14">
      <c r="B41" s="14" t="s">
        <v>178</v>
      </c>
      <c r="C41" s="15" t="s">
        <v>179</v>
      </c>
      <c r="D41" s="15" t="s">
        <v>195</v>
      </c>
      <c r="E41" s="15" t="s">
        <v>181</v>
      </c>
      <c r="F41" s="15" t="s">
        <v>196</v>
      </c>
      <c r="G41" s="15" t="s">
        <v>197</v>
      </c>
      <c r="H41" s="15" t="s">
        <v>182</v>
      </c>
      <c r="I41" s="15" t="s">
        <v>183</v>
      </c>
      <c r="J41" s="11" t="s">
        <v>184</v>
      </c>
      <c r="K41" s="11" t="s">
        <v>185</v>
      </c>
      <c r="L41" s="15" t="s">
        <v>161</v>
      </c>
      <c r="M41" s="15" t="s">
        <v>185</v>
      </c>
    </row>
    <row r="42" spans="2:14" ht="13.5" thickBot="1">
      <c r="B42" s="18"/>
      <c r="C42" s="19"/>
      <c r="D42" s="19"/>
      <c r="E42" s="19"/>
      <c r="F42" s="19"/>
      <c r="G42" s="19"/>
      <c r="H42" s="19"/>
      <c r="I42" s="19" t="s">
        <v>187</v>
      </c>
      <c r="J42" s="19" t="s">
        <v>188</v>
      </c>
      <c r="K42" s="19" t="s">
        <v>189</v>
      </c>
      <c r="L42" s="19" t="s">
        <v>190</v>
      </c>
      <c r="M42" s="19" t="s">
        <v>182</v>
      </c>
    </row>
    <row r="43" spans="2:14">
      <c r="B43" s="20" t="s">
        <v>191</v>
      </c>
      <c r="C43" s="21">
        <v>4.9000000000000004</v>
      </c>
      <c r="D43" s="21">
        <v>5.3</v>
      </c>
      <c r="E43" s="21">
        <f>200000/2000</f>
        <v>100</v>
      </c>
      <c r="F43" s="21">
        <v>0.7</v>
      </c>
      <c r="G43" s="21">
        <v>0.45</v>
      </c>
      <c r="H43" s="22">
        <f>C43*((D43/12)^F43)*((E43/3)^G43)</f>
        <v>13.398548476625086</v>
      </c>
      <c r="I43" s="23">
        <f>$C$97</f>
        <v>1162.3920000000001</v>
      </c>
      <c r="J43" s="24">
        <f t="shared" ref="J43:J46" si="12">H43*I43</f>
        <v>15574.365560841188</v>
      </c>
      <c r="K43" s="23">
        <f t="shared" ref="K43:K46" si="13">J43/2000</f>
        <v>7.7871827804205944</v>
      </c>
      <c r="L43" s="21">
        <v>0</v>
      </c>
      <c r="M43" s="35">
        <f t="shared" ref="M43:M46" si="14">K43*((100-L43)/100)</f>
        <v>7.7871827804205944</v>
      </c>
      <c r="N43" s="32"/>
    </row>
    <row r="44" spans="2:14">
      <c r="B44" s="20" t="s">
        <v>192</v>
      </c>
      <c r="C44" s="21">
        <v>4.9000000000000004</v>
      </c>
      <c r="D44" s="21">
        <v>5.3</v>
      </c>
      <c r="E44" s="21">
        <f>150000/2000</f>
        <v>75</v>
      </c>
      <c r="F44" s="21">
        <v>0.7</v>
      </c>
      <c r="G44" s="21">
        <v>0.45</v>
      </c>
      <c r="H44" s="22">
        <f t="shared" ref="H44:H46" si="15">C44*((D44/12)^F44)*((E44/3)^G44)</f>
        <v>11.771595232331768</v>
      </c>
      <c r="I44" s="23">
        <f t="shared" ref="I44" si="16">$C$97</f>
        <v>1162.3920000000001</v>
      </c>
      <c r="J44" s="24">
        <f t="shared" si="12"/>
        <v>13683.208125300589</v>
      </c>
      <c r="K44" s="23">
        <f t="shared" si="13"/>
        <v>6.8416040626502941</v>
      </c>
      <c r="L44" s="21">
        <v>0</v>
      </c>
      <c r="M44" s="35">
        <f t="shared" si="14"/>
        <v>6.8416040626502941</v>
      </c>
      <c r="N44" s="32"/>
    </row>
    <row r="45" spans="2:14" hidden="1">
      <c r="B45" s="20" t="s">
        <v>191</v>
      </c>
      <c r="C45" s="21">
        <v>4.9000000000000004</v>
      </c>
      <c r="D45" s="21">
        <v>6</v>
      </c>
      <c r="E45" s="21">
        <f>200000/2000</f>
        <v>100</v>
      </c>
      <c r="F45" s="21">
        <v>0.7</v>
      </c>
      <c r="G45" s="21">
        <v>0.45</v>
      </c>
      <c r="H45" s="22">
        <f t="shared" si="15"/>
        <v>14.614047629289653</v>
      </c>
      <c r="I45" s="23"/>
      <c r="J45" s="24">
        <f t="shared" si="12"/>
        <v>0</v>
      </c>
      <c r="K45" s="23">
        <f t="shared" si="13"/>
        <v>0</v>
      </c>
      <c r="L45" s="21">
        <v>90</v>
      </c>
      <c r="M45" s="35">
        <f t="shared" si="14"/>
        <v>0</v>
      </c>
      <c r="N45" s="32"/>
    </row>
    <row r="46" spans="2:14" hidden="1">
      <c r="B46" s="20" t="s">
        <v>192</v>
      </c>
      <c r="C46" s="21">
        <v>4.9000000000000004</v>
      </c>
      <c r="D46" s="21">
        <v>6</v>
      </c>
      <c r="E46" s="21">
        <f>150000/2000</f>
        <v>75</v>
      </c>
      <c r="F46" s="21">
        <v>0.7</v>
      </c>
      <c r="G46" s="21">
        <v>0.45</v>
      </c>
      <c r="H46" s="22">
        <f t="shared" si="15"/>
        <v>12.839499270994736</v>
      </c>
      <c r="I46" s="23"/>
      <c r="J46" s="24">
        <f t="shared" si="12"/>
        <v>0</v>
      </c>
      <c r="K46" s="23">
        <f t="shared" si="13"/>
        <v>0</v>
      </c>
      <c r="L46" s="21">
        <v>90</v>
      </c>
      <c r="M46" s="35">
        <f t="shared" si="14"/>
        <v>0</v>
      </c>
      <c r="N46" s="32"/>
    </row>
    <row r="47" spans="2:14">
      <c r="B47" s="25" t="s">
        <v>193</v>
      </c>
      <c r="C47" s="26"/>
      <c r="D47" s="26"/>
      <c r="E47" s="26"/>
      <c r="F47" s="26"/>
      <c r="G47" s="26"/>
      <c r="H47" s="27"/>
      <c r="I47" s="28">
        <f>SUM(I43:I46)</f>
        <v>2324.7840000000001</v>
      </c>
      <c r="J47" s="29">
        <f>SUM(J43:J46)</f>
        <v>29257.573686141775</v>
      </c>
      <c r="K47" s="29">
        <f>SUM(K43:K46)</f>
        <v>14.628786843070888</v>
      </c>
      <c r="L47" s="26"/>
      <c r="M47" s="31">
        <f>SUM(M43:M46)</f>
        <v>14.628786843070888</v>
      </c>
    </row>
    <row r="49" spans="2:13">
      <c r="B49" s="9" t="s">
        <v>57</v>
      </c>
    </row>
    <row r="50" spans="2:13">
      <c r="B50" s="10"/>
      <c r="C50" s="11"/>
      <c r="D50" s="11"/>
      <c r="E50" s="11"/>
      <c r="F50" s="11"/>
      <c r="G50" s="11"/>
      <c r="H50" s="11"/>
      <c r="I50" s="11" t="s">
        <v>173</v>
      </c>
      <c r="J50" s="12" t="s">
        <v>162</v>
      </c>
      <c r="K50" s="13"/>
      <c r="L50" s="11" t="s">
        <v>174</v>
      </c>
      <c r="M50" s="11" t="s">
        <v>175</v>
      </c>
    </row>
    <row r="51" spans="2:13">
      <c r="B51" s="14"/>
      <c r="C51" s="15"/>
      <c r="D51" s="15"/>
      <c r="E51" s="15"/>
      <c r="F51" s="15"/>
      <c r="G51" s="15"/>
      <c r="H51" s="15"/>
      <c r="I51" s="15" t="s">
        <v>176</v>
      </c>
      <c r="J51" s="16" t="s">
        <v>86</v>
      </c>
      <c r="K51" s="17"/>
      <c r="L51" s="15" t="s">
        <v>177</v>
      </c>
      <c r="M51" s="15" t="s">
        <v>86</v>
      </c>
    </row>
    <row r="52" spans="2:13">
      <c r="B52" s="14" t="s">
        <v>178</v>
      </c>
      <c r="C52" s="15" t="s">
        <v>179</v>
      </c>
      <c r="D52" s="15" t="s">
        <v>195</v>
      </c>
      <c r="E52" s="15" t="s">
        <v>181</v>
      </c>
      <c r="F52" s="15" t="s">
        <v>196</v>
      </c>
      <c r="G52" s="15" t="s">
        <v>197</v>
      </c>
      <c r="H52" s="15" t="s">
        <v>182</v>
      </c>
      <c r="I52" s="15" t="s">
        <v>183</v>
      </c>
      <c r="J52" s="11" t="s">
        <v>184</v>
      </c>
      <c r="K52" s="11" t="s">
        <v>185</v>
      </c>
      <c r="L52" s="15" t="s">
        <v>161</v>
      </c>
      <c r="M52" s="15" t="s">
        <v>185</v>
      </c>
    </row>
    <row r="53" spans="2:13" ht="13.5" thickBot="1">
      <c r="B53" s="18"/>
      <c r="C53" s="19"/>
      <c r="D53" s="19"/>
      <c r="E53" s="19"/>
      <c r="F53" s="19"/>
      <c r="G53" s="19"/>
      <c r="H53" s="19"/>
      <c r="I53" s="19" t="s">
        <v>187</v>
      </c>
      <c r="J53" s="19" t="s">
        <v>188</v>
      </c>
      <c r="K53" s="19" t="s">
        <v>189</v>
      </c>
      <c r="L53" s="19" t="s">
        <v>190</v>
      </c>
      <c r="M53" s="19" t="s">
        <v>182</v>
      </c>
    </row>
    <row r="54" spans="2:13" ht="27" customHeight="1">
      <c r="B54" s="20" t="s">
        <v>191</v>
      </c>
      <c r="C54" s="21">
        <v>1.5</v>
      </c>
      <c r="D54" s="21">
        <f t="shared" ref="D54:E57" si="17">D43</f>
        <v>5.3</v>
      </c>
      <c r="E54" s="21">
        <f t="shared" si="17"/>
        <v>100</v>
      </c>
      <c r="F54" s="21">
        <v>0.9</v>
      </c>
      <c r="G54" s="21">
        <f>G43</f>
        <v>0.45</v>
      </c>
      <c r="H54" s="22">
        <f>C54*((D54/12)^F54)*((E54/3)^G54)</f>
        <v>3.483147418347829</v>
      </c>
      <c r="I54" s="23">
        <f>I43</f>
        <v>1162.3920000000001</v>
      </c>
      <c r="J54" s="24">
        <f t="shared" ref="J54:J57" si="18">H54*I54</f>
        <v>4048.7826939081697</v>
      </c>
      <c r="K54" s="23">
        <f t="shared" ref="K54:K57" si="19">J54/2000</f>
        <v>2.0243913469540846</v>
      </c>
      <c r="L54" s="21">
        <f>L43</f>
        <v>0</v>
      </c>
      <c r="M54" s="35">
        <f t="shared" ref="M54:M57" si="20">K54*((100-L54)/100)</f>
        <v>2.0243913469540846</v>
      </c>
    </row>
    <row r="55" spans="2:13">
      <c r="B55" s="20" t="s">
        <v>192</v>
      </c>
      <c r="C55" s="21">
        <v>1.5</v>
      </c>
      <c r="D55" s="21">
        <f t="shared" si="17"/>
        <v>5.3</v>
      </c>
      <c r="E55" s="21">
        <f t="shared" si="17"/>
        <v>75</v>
      </c>
      <c r="F55" s="21">
        <v>0.9</v>
      </c>
      <c r="G55" s="21">
        <f>G44</f>
        <v>0.45</v>
      </c>
      <c r="H55" s="22">
        <f t="shared" ref="H55:H57" si="21">C55*((D55/12)^F55)*((E55/3)^G55)</f>
        <v>3.0601972754633722</v>
      </c>
      <c r="I55" s="23">
        <f>I44</f>
        <v>1162.3920000000001</v>
      </c>
      <c r="J55" s="24">
        <f t="shared" si="18"/>
        <v>3557.1488314204203</v>
      </c>
      <c r="K55" s="23">
        <f t="shared" si="19"/>
        <v>1.7785744157102101</v>
      </c>
      <c r="L55" s="21">
        <f>L44</f>
        <v>0</v>
      </c>
      <c r="M55" s="35">
        <f t="shared" si="20"/>
        <v>1.7785744157102101</v>
      </c>
    </row>
    <row r="56" spans="2:13" hidden="1">
      <c r="B56" s="20" t="s">
        <v>191</v>
      </c>
      <c r="C56" s="21">
        <v>1.5</v>
      </c>
      <c r="D56" s="21">
        <f t="shared" si="17"/>
        <v>6</v>
      </c>
      <c r="E56" s="21">
        <f t="shared" si="17"/>
        <v>100</v>
      </c>
      <c r="F56" s="21">
        <v>0.9</v>
      </c>
      <c r="G56" s="21">
        <f>G45</f>
        <v>0.45</v>
      </c>
      <c r="H56" s="22">
        <f t="shared" si="21"/>
        <v>3.8945716517493345</v>
      </c>
      <c r="I56" s="23">
        <f>I45</f>
        <v>0</v>
      </c>
      <c r="J56" s="24">
        <f t="shared" si="18"/>
        <v>0</v>
      </c>
      <c r="K56" s="23">
        <f t="shared" si="19"/>
        <v>0</v>
      </c>
      <c r="L56" s="21">
        <f>L45</f>
        <v>90</v>
      </c>
      <c r="M56" s="35">
        <f t="shared" si="20"/>
        <v>0</v>
      </c>
    </row>
    <row r="57" spans="2:13" hidden="1">
      <c r="B57" s="20" t="s">
        <v>192</v>
      </c>
      <c r="C57" s="21">
        <v>1.5</v>
      </c>
      <c r="D57" s="21">
        <f t="shared" si="17"/>
        <v>6</v>
      </c>
      <c r="E57" s="21">
        <f t="shared" si="17"/>
        <v>75</v>
      </c>
      <c r="F57" s="21">
        <v>0.9</v>
      </c>
      <c r="G57" s="21">
        <f>G46</f>
        <v>0.45</v>
      </c>
      <c r="H57" s="22">
        <f t="shared" si="21"/>
        <v>3.4216632620830536</v>
      </c>
      <c r="I57" s="23">
        <f>I46</f>
        <v>0</v>
      </c>
      <c r="J57" s="24">
        <f t="shared" si="18"/>
        <v>0</v>
      </c>
      <c r="K57" s="23">
        <f t="shared" si="19"/>
        <v>0</v>
      </c>
      <c r="L57" s="21">
        <f>L46</f>
        <v>90</v>
      </c>
      <c r="M57" s="35">
        <f t="shared" si="20"/>
        <v>0</v>
      </c>
    </row>
    <row r="58" spans="2:13">
      <c r="B58" s="25" t="s">
        <v>193</v>
      </c>
      <c r="C58" s="26"/>
      <c r="D58" s="26"/>
      <c r="E58" s="26"/>
      <c r="F58" s="26"/>
      <c r="G58" s="26"/>
      <c r="H58" s="27"/>
      <c r="I58" s="28">
        <f>SUM(I54:I57)</f>
        <v>2324.7840000000001</v>
      </c>
      <c r="J58" s="29">
        <f>SUM(J54:J57)</f>
        <v>7605.9315253285895</v>
      </c>
      <c r="K58" s="29">
        <f>SUM(K54:K57)</f>
        <v>3.8029657626642948</v>
      </c>
      <c r="L58" s="26"/>
      <c r="M58" s="31">
        <f>SUM(M54:M57)</f>
        <v>3.8029657626642948</v>
      </c>
    </row>
    <row r="60" spans="2:13">
      <c r="B60" s="9" t="s">
        <v>58</v>
      </c>
    </row>
    <row r="61" spans="2:13">
      <c r="B61" s="10"/>
      <c r="C61" s="11"/>
      <c r="D61" s="11"/>
      <c r="E61" s="11"/>
      <c r="F61" s="11"/>
      <c r="G61" s="11"/>
      <c r="H61" s="11"/>
      <c r="I61" s="11" t="s">
        <v>173</v>
      </c>
      <c r="J61" s="12" t="s">
        <v>162</v>
      </c>
      <c r="K61" s="13"/>
      <c r="L61" s="11" t="s">
        <v>174</v>
      </c>
      <c r="M61" s="11" t="s">
        <v>175</v>
      </c>
    </row>
    <row r="62" spans="2:13">
      <c r="B62" s="14"/>
      <c r="C62" s="15"/>
      <c r="D62" s="15"/>
      <c r="E62" s="15"/>
      <c r="F62" s="15"/>
      <c r="G62" s="15"/>
      <c r="H62" s="15"/>
      <c r="I62" s="15" t="s">
        <v>176</v>
      </c>
      <c r="J62" s="16" t="s">
        <v>86</v>
      </c>
      <c r="K62" s="17"/>
      <c r="L62" s="15" t="s">
        <v>177</v>
      </c>
      <c r="M62" s="15" t="s">
        <v>86</v>
      </c>
    </row>
    <row r="63" spans="2:13">
      <c r="B63" s="14" t="s">
        <v>178</v>
      </c>
      <c r="C63" s="15" t="s">
        <v>179</v>
      </c>
      <c r="D63" s="15" t="s">
        <v>195</v>
      </c>
      <c r="E63" s="15" t="s">
        <v>181</v>
      </c>
      <c r="F63" s="15" t="s">
        <v>196</v>
      </c>
      <c r="G63" s="15" t="s">
        <v>197</v>
      </c>
      <c r="H63" s="15" t="s">
        <v>182</v>
      </c>
      <c r="I63" s="15" t="s">
        <v>183</v>
      </c>
      <c r="J63" s="11" t="s">
        <v>184</v>
      </c>
      <c r="K63" s="11" t="s">
        <v>185</v>
      </c>
      <c r="L63" s="15" t="s">
        <v>161</v>
      </c>
      <c r="M63" s="15" t="s">
        <v>185</v>
      </c>
    </row>
    <row r="64" spans="2:13" ht="13.5" thickBot="1">
      <c r="B64" s="18"/>
      <c r="C64" s="19"/>
      <c r="D64" s="19"/>
      <c r="E64" s="19"/>
      <c r="F64" s="19"/>
      <c r="G64" s="19"/>
      <c r="H64" s="19"/>
      <c r="I64" s="19" t="s">
        <v>187</v>
      </c>
      <c r="J64" s="19" t="s">
        <v>188</v>
      </c>
      <c r="K64" s="19" t="s">
        <v>189</v>
      </c>
      <c r="L64" s="19" t="s">
        <v>190</v>
      </c>
      <c r="M64" s="19" t="s">
        <v>182</v>
      </c>
    </row>
    <row r="65" spans="2:13">
      <c r="B65" s="20" t="s">
        <v>191</v>
      </c>
      <c r="C65" s="21">
        <v>0.15</v>
      </c>
      <c r="D65" s="21">
        <f t="shared" ref="D65:G68" si="22">D54</f>
        <v>5.3</v>
      </c>
      <c r="E65" s="21">
        <f t="shared" si="22"/>
        <v>100</v>
      </c>
      <c r="F65" s="21">
        <f t="shared" si="22"/>
        <v>0.9</v>
      </c>
      <c r="G65" s="21">
        <f t="shared" si="22"/>
        <v>0.45</v>
      </c>
      <c r="H65" s="22">
        <f>C65*((D65/12)^F65)*((E65/3)^G65)</f>
        <v>0.34831474183478289</v>
      </c>
      <c r="I65" s="23">
        <f>I54</f>
        <v>1162.3920000000001</v>
      </c>
      <c r="J65" s="24">
        <f>H65*I65</f>
        <v>404.87826939081697</v>
      </c>
      <c r="K65" s="23">
        <f t="shared" ref="K65:K68" si="23">J65/2000</f>
        <v>0.20243913469540847</v>
      </c>
      <c r="L65" s="21">
        <f>L54</f>
        <v>0</v>
      </c>
      <c r="M65" s="35">
        <f>K65*((100-L65)/100)</f>
        <v>0.20243913469540847</v>
      </c>
    </row>
    <row r="66" spans="2:13">
      <c r="B66" s="20" t="s">
        <v>192</v>
      </c>
      <c r="C66" s="21">
        <v>0.15</v>
      </c>
      <c r="D66" s="21">
        <f t="shared" si="22"/>
        <v>5.3</v>
      </c>
      <c r="E66" s="21">
        <f t="shared" si="22"/>
        <v>75</v>
      </c>
      <c r="F66" s="21">
        <f t="shared" si="22"/>
        <v>0.9</v>
      </c>
      <c r="G66" s="21">
        <f t="shared" si="22"/>
        <v>0.45</v>
      </c>
      <c r="H66" s="22">
        <f t="shared" ref="H66:H68" si="24">C66*((D66/12)^F66)*((E66/3)^G66)</f>
        <v>0.30601972754633722</v>
      </c>
      <c r="I66" s="23">
        <f>I55</f>
        <v>1162.3920000000001</v>
      </c>
      <c r="J66" s="24">
        <f t="shared" ref="J66:J68" si="25">H66*I66</f>
        <v>355.71488314204203</v>
      </c>
      <c r="K66" s="23">
        <f t="shared" si="23"/>
        <v>0.17785744157102101</v>
      </c>
      <c r="L66" s="21">
        <f>L55</f>
        <v>0</v>
      </c>
      <c r="M66" s="35">
        <f t="shared" ref="M66:M67" si="26">K66*((100-L66)/100)</f>
        <v>0.17785744157102101</v>
      </c>
    </row>
    <row r="67" spans="2:13" hidden="1">
      <c r="B67" s="20" t="s">
        <v>191</v>
      </c>
      <c r="C67" s="21">
        <v>0.15</v>
      </c>
      <c r="D67" s="21">
        <f t="shared" si="22"/>
        <v>6</v>
      </c>
      <c r="E67" s="21">
        <f t="shared" si="22"/>
        <v>100</v>
      </c>
      <c r="F67" s="21">
        <f t="shared" si="22"/>
        <v>0.9</v>
      </c>
      <c r="G67" s="21">
        <f t="shared" si="22"/>
        <v>0.45</v>
      </c>
      <c r="H67" s="22">
        <f t="shared" si="24"/>
        <v>0.3894571651749334</v>
      </c>
      <c r="I67" s="23">
        <f>I56</f>
        <v>0</v>
      </c>
      <c r="J67" s="24">
        <f t="shared" si="25"/>
        <v>0</v>
      </c>
      <c r="K67" s="23">
        <f t="shared" si="23"/>
        <v>0</v>
      </c>
      <c r="L67" s="21">
        <f>L56</f>
        <v>90</v>
      </c>
      <c r="M67" s="35">
        <f t="shared" si="26"/>
        <v>0</v>
      </c>
    </row>
    <row r="68" spans="2:13" hidden="1">
      <c r="B68" s="20" t="s">
        <v>192</v>
      </c>
      <c r="C68" s="21">
        <v>0.15</v>
      </c>
      <c r="D68" s="21">
        <f t="shared" si="22"/>
        <v>6</v>
      </c>
      <c r="E68" s="21">
        <f t="shared" si="22"/>
        <v>75</v>
      </c>
      <c r="F68" s="21">
        <f t="shared" si="22"/>
        <v>0.9</v>
      </c>
      <c r="G68" s="21">
        <f t="shared" si="22"/>
        <v>0.45</v>
      </c>
      <c r="H68" s="22">
        <f t="shared" si="24"/>
        <v>0.34216632620830534</v>
      </c>
      <c r="I68" s="23">
        <f>I57</f>
        <v>0</v>
      </c>
      <c r="J68" s="24">
        <f t="shared" si="25"/>
        <v>0</v>
      </c>
      <c r="K68" s="23">
        <f t="shared" si="23"/>
        <v>0</v>
      </c>
      <c r="L68" s="21">
        <f>L57</f>
        <v>90</v>
      </c>
      <c r="M68" s="35">
        <f>K68*((100-L68)/100)</f>
        <v>0</v>
      </c>
    </row>
    <row r="69" spans="2:13">
      <c r="B69" s="25" t="s">
        <v>193</v>
      </c>
      <c r="C69" s="27"/>
      <c r="D69" s="26"/>
      <c r="E69" s="26"/>
      <c r="F69" s="26"/>
      <c r="G69" s="26"/>
      <c r="H69" s="27"/>
      <c r="I69" s="28">
        <f>SUM(I65:I68)</f>
        <v>2324.7840000000001</v>
      </c>
      <c r="J69" s="29">
        <f>SUM(J65:J68)</f>
        <v>760.59315253285899</v>
      </c>
      <c r="K69" s="29">
        <f>SUM(K65:K68)</f>
        <v>0.38029657626642949</v>
      </c>
      <c r="L69" s="26"/>
      <c r="M69" s="31">
        <f>SUM(M65:M68)</f>
        <v>0.38029657626642949</v>
      </c>
    </row>
    <row r="71" spans="2:13">
      <c r="B71" s="2" t="s">
        <v>198</v>
      </c>
    </row>
    <row r="72" spans="2:13">
      <c r="B72" s="2" t="s">
        <v>199</v>
      </c>
    </row>
    <row r="73" spans="2:13" ht="15">
      <c r="B73" s="2" t="s">
        <v>200</v>
      </c>
      <c r="C73" s="2" t="s">
        <v>201</v>
      </c>
    </row>
    <row r="74" spans="2:13">
      <c r="C74" s="2" t="s">
        <v>202</v>
      </c>
    </row>
    <row r="75" spans="2:13">
      <c r="C75" s="36" t="s">
        <v>203</v>
      </c>
    </row>
    <row r="76" spans="2:13" ht="15">
      <c r="C76" s="2" t="s">
        <v>204</v>
      </c>
    </row>
    <row r="77" spans="2:13">
      <c r="C77" s="2" t="s">
        <v>205</v>
      </c>
    </row>
    <row r="78" spans="2:13">
      <c r="B78" s="2" t="s">
        <v>206</v>
      </c>
    </row>
    <row r="79" spans="2:13" ht="15">
      <c r="B79" s="2" t="s">
        <v>207</v>
      </c>
      <c r="C79" s="2" t="s">
        <v>201</v>
      </c>
    </row>
    <row r="80" spans="2:13">
      <c r="C80" s="2" t="s">
        <v>208</v>
      </c>
    </row>
    <row r="81" spans="2:5">
      <c r="C81" s="2" t="s">
        <v>209</v>
      </c>
    </row>
    <row r="82" spans="2:5">
      <c r="C82" s="2" t="s">
        <v>210</v>
      </c>
    </row>
    <row r="83" spans="2:5">
      <c r="B83" s="2" t="s">
        <v>323</v>
      </c>
    </row>
    <row r="84" spans="2:5">
      <c r="B84" s="36" t="s">
        <v>324</v>
      </c>
    </row>
    <row r="85" spans="2:5">
      <c r="B85" s="2" t="s">
        <v>214</v>
      </c>
    </row>
    <row r="86" spans="2:5">
      <c r="B86" s="2" t="s">
        <v>215</v>
      </c>
    </row>
    <row r="87" spans="2:5">
      <c r="B87" s="2" t="s">
        <v>216</v>
      </c>
    </row>
    <row r="88" spans="2:5">
      <c r="B88" s="2" t="s">
        <v>217</v>
      </c>
    </row>
    <row r="90" spans="2:5">
      <c r="B90" s="2" t="s">
        <v>218</v>
      </c>
      <c r="C90" s="37">
        <f>_xlfn.XLOOKUP(E90,'8b. Baseline Emissions_Other'!$B:$B,'8b. Baseline Emissions_Other'!$D:$D)</f>
        <v>484330</v>
      </c>
      <c r="D90" s="2" t="s">
        <v>80</v>
      </c>
      <c r="E90" s="2">
        <v>2020</v>
      </c>
    </row>
    <row r="91" spans="2:5">
      <c r="B91" s="2" t="s">
        <v>219</v>
      </c>
      <c r="C91" s="2">
        <f>SUM(C94:C95)</f>
        <v>0.85500000000000009</v>
      </c>
      <c r="D91" s="2" t="s">
        <v>220</v>
      </c>
    </row>
    <row r="92" spans="2:5">
      <c r="B92" s="2" t="s">
        <v>221</v>
      </c>
      <c r="C92" s="2">
        <f>E13-E14</f>
        <v>25</v>
      </c>
      <c r="D92" s="2" t="s">
        <v>222</v>
      </c>
    </row>
    <row r="93" spans="2:5">
      <c r="B93" s="2" t="s">
        <v>223</v>
      </c>
      <c r="C93" s="2">
        <f>C90/C92</f>
        <v>19373.2</v>
      </c>
      <c r="D93" s="2" t="s">
        <v>224</v>
      </c>
    </row>
    <row r="94" spans="2:5">
      <c r="B94" s="2" t="s">
        <v>228</v>
      </c>
      <c r="C94" s="2">
        <f>AVERAGE(0.79, 0.8)</f>
        <v>0.79500000000000004</v>
      </c>
      <c r="D94" s="2" t="s">
        <v>229</v>
      </c>
      <c r="E94" s="2" t="s">
        <v>230</v>
      </c>
    </row>
    <row r="95" spans="2:5">
      <c r="B95" s="2" t="s">
        <v>231</v>
      </c>
      <c r="C95" s="2">
        <f>AVERAGE(0.07,0.05)</f>
        <v>6.0000000000000005E-2</v>
      </c>
      <c r="D95" s="2" t="s">
        <v>229</v>
      </c>
      <c r="E95" s="2" t="s">
        <v>230</v>
      </c>
    </row>
    <row r="96" spans="2:5">
      <c r="B96" s="2" t="s">
        <v>232</v>
      </c>
      <c r="C96" s="2">
        <f>C94*C93</f>
        <v>15401.694000000001</v>
      </c>
      <c r="D96" s="2" t="s">
        <v>233</v>
      </c>
    </row>
    <row r="97" spans="2:4">
      <c r="B97" s="2" t="s">
        <v>235</v>
      </c>
      <c r="C97" s="2">
        <f>C95*C93</f>
        <v>1162.3920000000001</v>
      </c>
      <c r="D97" s="2" t="s">
        <v>233</v>
      </c>
    </row>
  </sheetData>
  <pageMargins left="0.7" right="0.7" top="0.75" bottom="0.75" header="0.3" footer="0.3"/>
  <pageSetup scale="66" fitToHeight="2" orientation="landscape" r:id="rId1"/>
  <rowBreaks count="1" manualBreakCount="1">
    <brk id="35" min="1" max="1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9E110-6D5E-4560-A554-AD6203BB9F63}">
  <sheetPr>
    <tabColor theme="0"/>
  </sheetPr>
  <dimension ref="B2:T97"/>
  <sheetViews>
    <sheetView topLeftCell="A63" zoomScale="150" zoomScaleNormal="150" zoomScaleSheetLayoutView="140" workbookViewId="0">
      <selection activeCell="L46" sqref="L46"/>
    </sheetView>
  </sheetViews>
  <sheetFormatPr defaultColWidth="8.85546875" defaultRowHeight="12.75"/>
  <cols>
    <col min="1" max="1" width="4.140625" style="2" customWidth="1"/>
    <col min="2" max="2" width="29.5703125" style="2" customWidth="1"/>
    <col min="3" max="3" width="9.85546875" style="2" customWidth="1"/>
    <col min="4" max="5" width="10.140625" style="2" customWidth="1"/>
    <col min="6" max="6" width="12.5703125" style="2" customWidth="1"/>
    <col min="7" max="7" width="10.85546875" style="2" customWidth="1"/>
    <col min="8" max="9" width="8.85546875" style="2"/>
    <col min="10" max="10" width="10.5703125" style="2" customWidth="1"/>
    <col min="11" max="11" width="12" style="2" customWidth="1"/>
    <col min="12" max="12" width="8.85546875" style="2"/>
    <col min="13" max="13" width="10.5703125" style="2" customWidth="1"/>
    <col min="14" max="14" width="11.85546875" style="2" customWidth="1"/>
    <col min="15" max="16384" width="8.85546875" style="2"/>
  </cols>
  <sheetData>
    <row r="2" spans="2:11">
      <c r="B2" s="6" t="s">
        <v>0</v>
      </c>
      <c r="C2" s="7" t="str">
        <f>'1. Step 1 Evaluation'!C2</f>
        <v>U. S. Steel</v>
      </c>
    </row>
    <row r="3" spans="2:11">
      <c r="B3" s="6" t="s">
        <v>2</v>
      </c>
      <c r="C3" s="7" t="str">
        <f>'1. Step 1 Evaluation'!C3</f>
        <v>Edgar Thomson Plant</v>
      </c>
    </row>
    <row r="4" spans="2:11">
      <c r="B4" s="6" t="s">
        <v>4</v>
      </c>
      <c r="C4" s="7" t="str">
        <f>'1. Step 1 Evaluation'!C4</f>
        <v>Slag Recycler Project</v>
      </c>
    </row>
    <row r="5" spans="2:11" ht="9.75" customHeight="1"/>
    <row r="6" spans="2:11">
      <c r="B6" s="8" t="s">
        <v>329</v>
      </c>
    </row>
    <row r="7" spans="2:11" ht="6" customHeight="1">
      <c r="B7" s="8"/>
    </row>
    <row r="8" spans="2:11">
      <c r="B8" s="9" t="s">
        <v>172</v>
      </c>
    </row>
    <row r="9" spans="2:11">
      <c r="B9" s="10"/>
      <c r="C9" s="11"/>
      <c r="D9" s="11"/>
      <c r="E9" s="11"/>
      <c r="F9" s="11"/>
      <c r="G9" s="11" t="s">
        <v>173</v>
      </c>
      <c r="H9" s="12" t="s">
        <v>162</v>
      </c>
      <c r="I9" s="13"/>
      <c r="J9" s="11" t="s">
        <v>174</v>
      </c>
      <c r="K9" s="11" t="s">
        <v>175</v>
      </c>
    </row>
    <row r="10" spans="2:11">
      <c r="B10" s="14"/>
      <c r="C10" s="15"/>
      <c r="D10" s="15"/>
      <c r="E10" s="15"/>
      <c r="F10" s="15"/>
      <c r="G10" s="15" t="s">
        <v>176</v>
      </c>
      <c r="H10" s="16" t="s">
        <v>86</v>
      </c>
      <c r="I10" s="17"/>
      <c r="J10" s="15" t="s">
        <v>177</v>
      </c>
      <c r="K10" s="15" t="s">
        <v>86</v>
      </c>
    </row>
    <row r="11" spans="2:11">
      <c r="B11" s="14" t="s">
        <v>178</v>
      </c>
      <c r="C11" s="15" t="s">
        <v>179</v>
      </c>
      <c r="D11" s="15" t="s">
        <v>180</v>
      </c>
      <c r="E11" s="15" t="s">
        <v>181</v>
      </c>
      <c r="F11" s="15" t="s">
        <v>182</v>
      </c>
      <c r="G11" s="15" t="s">
        <v>183</v>
      </c>
      <c r="H11" s="11" t="s">
        <v>184</v>
      </c>
      <c r="I11" s="11" t="s">
        <v>185</v>
      </c>
      <c r="J11" s="15" t="s">
        <v>161</v>
      </c>
      <c r="K11" s="15" t="s">
        <v>185</v>
      </c>
    </row>
    <row r="12" spans="2:11" ht="13.5" thickBot="1">
      <c r="B12" s="18"/>
      <c r="C12" s="19"/>
      <c r="D12" s="19"/>
      <c r="E12" s="19"/>
      <c r="F12" s="19" t="s">
        <v>186</v>
      </c>
      <c r="G12" s="19" t="s">
        <v>187</v>
      </c>
      <c r="H12" s="19" t="s">
        <v>188</v>
      </c>
      <c r="I12" s="19" t="s">
        <v>189</v>
      </c>
      <c r="J12" s="19" t="s">
        <v>190</v>
      </c>
      <c r="K12" s="19" t="s">
        <v>182</v>
      </c>
    </row>
    <row r="13" spans="2:11">
      <c r="B13" s="20" t="s">
        <v>191</v>
      </c>
      <c r="C13" s="21">
        <v>1.0999999999999999E-2</v>
      </c>
      <c r="D13" s="22">
        <v>0.30166999999999999</v>
      </c>
      <c r="E13" s="21">
        <f>200000/2000</f>
        <v>100</v>
      </c>
      <c r="F13" s="22">
        <f>(C13*((D13)^0.91)*((E13)^1.02))</f>
        <v>0.40529096039913509</v>
      </c>
      <c r="G13" s="23">
        <f>$C$96</f>
        <v>15278.278200000001</v>
      </c>
      <c r="H13" s="24">
        <f t="shared" ref="H13:H14" si="0">F13*G13</f>
        <v>6192.1480449231694</v>
      </c>
      <c r="I13" s="22">
        <f t="shared" ref="I13:I14" si="1">H13/2000</f>
        <v>3.0960740224615848</v>
      </c>
      <c r="J13" s="21">
        <v>90</v>
      </c>
      <c r="K13" s="22">
        <f t="shared" ref="K13:K14" si="2">I13*((100-J13)/100)</f>
        <v>0.30960740224615851</v>
      </c>
    </row>
    <row r="14" spans="2:11">
      <c r="B14" s="20" t="s">
        <v>192</v>
      </c>
      <c r="C14" s="21">
        <v>1.0999999999999999E-2</v>
      </c>
      <c r="D14" s="22">
        <v>0.30166999999999999</v>
      </c>
      <c r="E14" s="21">
        <f>150000/2000</f>
        <v>75</v>
      </c>
      <c r="F14" s="22">
        <f t="shared" ref="F14" si="3">(C14*((D14)^0.91)*((E14)^1.02))</f>
        <v>0.30222431785344439</v>
      </c>
      <c r="G14" s="23">
        <f>$C$96</f>
        <v>15278.278200000001</v>
      </c>
      <c r="H14" s="24">
        <f t="shared" si="0"/>
        <v>4617.4672069701501</v>
      </c>
      <c r="I14" s="22">
        <f t="shared" si="1"/>
        <v>2.3087336034850749</v>
      </c>
      <c r="J14" s="21">
        <v>90</v>
      </c>
      <c r="K14" s="22">
        <f t="shared" si="2"/>
        <v>0.2308733603485075</v>
      </c>
    </row>
    <row r="15" spans="2:11">
      <c r="B15" s="25" t="s">
        <v>193</v>
      </c>
      <c r="C15" s="26"/>
      <c r="D15" s="26"/>
      <c r="E15" s="26"/>
      <c r="F15" s="27"/>
      <c r="G15" s="28">
        <f>SUM(G13:G14)</f>
        <v>30556.556400000001</v>
      </c>
      <c r="H15" s="29">
        <f>SUM(H13:H14)</f>
        <v>10809.61525189332</v>
      </c>
      <c r="I15" s="30">
        <f>SUM(I13:I14)</f>
        <v>5.4048076259466598</v>
      </c>
      <c r="J15" s="26"/>
      <c r="K15" s="31">
        <f>SUM(K13:K14)</f>
        <v>0.54048076259466604</v>
      </c>
    </row>
    <row r="16" spans="2:11">
      <c r="G16" s="32"/>
    </row>
    <row r="17" spans="2:20">
      <c r="B17" s="9" t="s">
        <v>57</v>
      </c>
    </row>
    <row r="18" spans="2:20">
      <c r="B18" s="10"/>
      <c r="C18" s="11"/>
      <c r="D18" s="11"/>
      <c r="E18" s="11"/>
      <c r="F18" s="11"/>
      <c r="G18" s="11" t="s">
        <v>173</v>
      </c>
      <c r="H18" s="12" t="s">
        <v>162</v>
      </c>
      <c r="I18" s="13"/>
      <c r="J18" s="11" t="s">
        <v>174</v>
      </c>
      <c r="K18" s="11" t="s">
        <v>175</v>
      </c>
    </row>
    <row r="19" spans="2:20">
      <c r="B19" s="14"/>
      <c r="C19" s="15"/>
      <c r="D19" s="419"/>
      <c r="E19" s="15"/>
      <c r="F19" s="419"/>
      <c r="G19" s="15" t="s">
        <v>176</v>
      </c>
      <c r="H19" s="428" t="s">
        <v>86</v>
      </c>
      <c r="I19" s="17"/>
      <c r="J19" s="419" t="s">
        <v>177</v>
      </c>
      <c r="K19" s="15" t="s">
        <v>86</v>
      </c>
      <c r="L19" s="32"/>
      <c r="N19" s="32"/>
      <c r="P19" s="32"/>
      <c r="T19" s="32"/>
    </row>
    <row r="20" spans="2:20">
      <c r="B20" s="14" t="s">
        <v>178</v>
      </c>
      <c r="C20" s="15" t="s">
        <v>179</v>
      </c>
      <c r="D20" s="15" t="s">
        <v>180</v>
      </c>
      <c r="E20" s="15" t="s">
        <v>181</v>
      </c>
      <c r="F20" s="15" t="s">
        <v>182</v>
      </c>
      <c r="G20" s="15" t="s">
        <v>183</v>
      </c>
      <c r="H20" s="11" t="s">
        <v>184</v>
      </c>
      <c r="I20" s="11" t="s">
        <v>185</v>
      </c>
      <c r="J20" s="15" t="s">
        <v>161</v>
      </c>
      <c r="K20" s="15" t="s">
        <v>185</v>
      </c>
    </row>
    <row r="21" spans="2:20" ht="13.5" thickBot="1">
      <c r="B21" s="18"/>
      <c r="C21" s="19"/>
      <c r="D21" s="19"/>
      <c r="E21" s="19"/>
      <c r="F21" s="19" t="s">
        <v>186</v>
      </c>
      <c r="G21" s="19" t="s">
        <v>187</v>
      </c>
      <c r="H21" s="19" t="s">
        <v>188</v>
      </c>
      <c r="I21" s="19" t="s">
        <v>189</v>
      </c>
      <c r="J21" s="19" t="s">
        <v>190</v>
      </c>
      <c r="K21" s="19" t="s">
        <v>182</v>
      </c>
    </row>
    <row r="22" spans="2:20">
      <c r="B22" s="20" t="s">
        <v>191</v>
      </c>
      <c r="C22" s="21">
        <v>2.2000000000000001E-3</v>
      </c>
      <c r="D22" s="22">
        <f>D13</f>
        <v>0.30166999999999999</v>
      </c>
      <c r="E22" s="21">
        <f>E13</f>
        <v>100</v>
      </c>
      <c r="F22" s="33">
        <f>(C22*((D22)^0.91)*((E22)^1.02))</f>
        <v>8.1058192079827035E-2</v>
      </c>
      <c r="G22" s="23">
        <f>G13</f>
        <v>15278.278200000001</v>
      </c>
      <c r="H22" s="24">
        <f t="shared" ref="H22:H23" si="4">F22*G22</f>
        <v>1238.4296089846341</v>
      </c>
      <c r="I22" s="22">
        <f t="shared" ref="I22:I23" si="5">H22/2000</f>
        <v>0.61921480449231703</v>
      </c>
      <c r="J22" s="21">
        <v>90</v>
      </c>
      <c r="K22" s="33">
        <f t="shared" ref="K22:K23" si="6">I22*((100-J22)/100)</f>
        <v>6.1921480449231708E-2</v>
      </c>
    </row>
    <row r="23" spans="2:20">
      <c r="B23" s="20" t="s">
        <v>192</v>
      </c>
      <c r="C23" s="21">
        <v>2.2000000000000001E-3</v>
      </c>
      <c r="D23" s="22">
        <f>D14</f>
        <v>0.30166999999999999</v>
      </c>
      <c r="E23" s="21">
        <f>E14</f>
        <v>75</v>
      </c>
      <c r="F23" s="33">
        <f t="shared" ref="F23" si="7">(C23*((D23)^0.91)*((E23)^1.02))</f>
        <v>6.0444863570688886E-2</v>
      </c>
      <c r="G23" s="23">
        <f>G14</f>
        <v>15278.278200000001</v>
      </c>
      <c r="H23" s="24">
        <f t="shared" si="4"/>
        <v>923.49344139403024</v>
      </c>
      <c r="I23" s="22">
        <f t="shared" si="5"/>
        <v>0.46174672069701511</v>
      </c>
      <c r="J23" s="21">
        <v>90</v>
      </c>
      <c r="K23" s="33">
        <f t="shared" si="6"/>
        <v>4.6174672069701515E-2</v>
      </c>
    </row>
    <row r="24" spans="2:20">
      <c r="B24" s="25" t="s">
        <v>193</v>
      </c>
      <c r="C24" s="26"/>
      <c r="D24" s="26"/>
      <c r="E24" s="26"/>
      <c r="F24" s="27"/>
      <c r="G24" s="28">
        <f>SUM(G22:G23)</f>
        <v>30556.556400000001</v>
      </c>
      <c r="H24" s="29">
        <f>SUM(H22:H23)</f>
        <v>2161.9230503786644</v>
      </c>
      <c r="I24" s="30">
        <f>SUM(I22:I23)</f>
        <v>1.0809615251893321</v>
      </c>
      <c r="J24" s="26"/>
      <c r="K24" s="31">
        <f>SUM(K22:K23)</f>
        <v>0.10809615251893323</v>
      </c>
    </row>
    <row r="25" spans="2:20">
      <c r="G25" s="32"/>
    </row>
    <row r="26" spans="2:20">
      <c r="B26" s="9" t="s">
        <v>58</v>
      </c>
    </row>
    <row r="27" spans="2:20">
      <c r="B27" s="10"/>
      <c r="C27" s="11"/>
      <c r="D27" s="11"/>
      <c r="E27" s="11"/>
      <c r="F27" s="11"/>
      <c r="G27" s="11" t="s">
        <v>173</v>
      </c>
      <c r="H27" s="12" t="s">
        <v>162</v>
      </c>
      <c r="I27" s="13"/>
      <c r="J27" s="11" t="s">
        <v>174</v>
      </c>
      <c r="K27" s="11" t="s">
        <v>175</v>
      </c>
    </row>
    <row r="28" spans="2:20">
      <c r="B28" s="14"/>
      <c r="C28" s="15"/>
      <c r="D28" s="15"/>
      <c r="E28" s="15"/>
      <c r="F28" s="15"/>
      <c r="G28" s="15" t="s">
        <v>176</v>
      </c>
      <c r="H28" s="16" t="s">
        <v>86</v>
      </c>
      <c r="I28" s="17"/>
      <c r="J28" s="15" t="s">
        <v>177</v>
      </c>
      <c r="K28" s="15" t="s">
        <v>86</v>
      </c>
    </row>
    <row r="29" spans="2:20">
      <c r="B29" s="14" t="s">
        <v>178</v>
      </c>
      <c r="C29" s="15" t="s">
        <v>179</v>
      </c>
      <c r="D29" s="15" t="s">
        <v>180</v>
      </c>
      <c r="E29" s="15" t="s">
        <v>181</v>
      </c>
      <c r="F29" s="15" t="s">
        <v>182</v>
      </c>
      <c r="G29" s="15" t="s">
        <v>183</v>
      </c>
      <c r="H29" s="11" t="s">
        <v>184</v>
      </c>
      <c r="I29" s="11" t="s">
        <v>185</v>
      </c>
      <c r="J29" s="15" t="s">
        <v>161</v>
      </c>
      <c r="K29" s="15" t="s">
        <v>185</v>
      </c>
    </row>
    <row r="30" spans="2:20" ht="13.5" thickBot="1">
      <c r="B30" s="18"/>
      <c r="C30" s="19"/>
      <c r="D30" s="19"/>
      <c r="E30" s="19"/>
      <c r="F30" s="19" t="s">
        <v>186</v>
      </c>
      <c r="G30" s="19" t="s">
        <v>187</v>
      </c>
      <c r="H30" s="19" t="s">
        <v>188</v>
      </c>
      <c r="I30" s="19" t="s">
        <v>189</v>
      </c>
      <c r="J30" s="19" t="s">
        <v>190</v>
      </c>
      <c r="K30" s="19" t="s">
        <v>182</v>
      </c>
    </row>
    <row r="31" spans="2:20">
      <c r="B31" s="20" t="s">
        <v>191</v>
      </c>
      <c r="C31" s="21">
        <v>5.4000000000000001E-4</v>
      </c>
      <c r="D31" s="22">
        <f>D22</f>
        <v>0.30166999999999999</v>
      </c>
      <c r="E31" s="21">
        <f>E22</f>
        <v>100</v>
      </c>
      <c r="F31" s="33">
        <f>(C31*((D31)^0.91)*((E31)^1.02))</f>
        <v>1.9896101692321179E-2</v>
      </c>
      <c r="G31" s="23">
        <f>G22</f>
        <v>15278.278200000001</v>
      </c>
      <c r="H31" s="24">
        <f t="shared" ref="H31:H32" si="8">F31*G31</f>
        <v>303.9781767507738</v>
      </c>
      <c r="I31" s="22">
        <f t="shared" ref="I31:I32" si="9">H31/2000</f>
        <v>0.15198908837538691</v>
      </c>
      <c r="J31" s="21">
        <v>90</v>
      </c>
      <c r="K31" s="33">
        <f t="shared" ref="K31:K32" si="10">I31*((100-J31)/100)</f>
        <v>1.5198908837538692E-2</v>
      </c>
    </row>
    <row r="32" spans="2:20">
      <c r="B32" s="20" t="s">
        <v>192</v>
      </c>
      <c r="C32" s="21">
        <v>5.4000000000000001E-4</v>
      </c>
      <c r="D32" s="22">
        <f>D23</f>
        <v>0.30166999999999999</v>
      </c>
      <c r="E32" s="21">
        <f>E23</f>
        <v>75</v>
      </c>
      <c r="F32" s="33">
        <f t="shared" ref="F32" si="11">(C32*((D32)^0.91)*((E32)^1.02))</f>
        <v>1.4836466512805452E-2</v>
      </c>
      <c r="G32" s="23">
        <f>G23</f>
        <v>15278.278200000001</v>
      </c>
      <c r="H32" s="24">
        <f t="shared" si="8"/>
        <v>226.67566288762558</v>
      </c>
      <c r="I32" s="22">
        <f t="shared" si="9"/>
        <v>0.11333783144381279</v>
      </c>
      <c r="J32" s="21">
        <v>90</v>
      </c>
      <c r="K32" s="33">
        <f t="shared" si="10"/>
        <v>1.133378314438128E-2</v>
      </c>
      <c r="O32" s="34"/>
    </row>
    <row r="33" spans="2:14">
      <c r="B33" s="25" t="s">
        <v>193</v>
      </c>
      <c r="C33" s="27"/>
      <c r="D33" s="26"/>
      <c r="E33" s="26"/>
      <c r="F33" s="27"/>
      <c r="G33" s="28">
        <f>SUM(G31:G32)</f>
        <v>30556.556400000001</v>
      </c>
      <c r="H33" s="29">
        <f>SUM(H31:H32)</f>
        <v>530.6538396383994</v>
      </c>
      <c r="I33" s="30">
        <f>SUM(I31:I32)</f>
        <v>0.2653269198191997</v>
      </c>
      <c r="J33" s="26"/>
      <c r="K33" s="31">
        <f>SUM(K31:K32)</f>
        <v>2.6532691981919973E-2</v>
      </c>
    </row>
    <row r="34" spans="2:14">
      <c r="F34" s="32"/>
    </row>
    <row r="35" spans="2:14">
      <c r="F35" s="32"/>
    </row>
    <row r="36" spans="2:14">
      <c r="B36" s="8" t="s">
        <v>330</v>
      </c>
    </row>
    <row r="37" spans="2:14" ht="7.9" customHeight="1">
      <c r="B37" s="8"/>
    </row>
    <row r="38" spans="2:14">
      <c r="B38" s="9" t="s">
        <v>172</v>
      </c>
    </row>
    <row r="39" spans="2:14">
      <c r="B39" s="10"/>
      <c r="C39" s="11"/>
      <c r="D39" s="11"/>
      <c r="E39" s="11"/>
      <c r="F39" s="11"/>
      <c r="G39" s="11"/>
      <c r="H39" s="11"/>
      <c r="I39" s="11" t="s">
        <v>173</v>
      </c>
      <c r="J39" s="12" t="s">
        <v>162</v>
      </c>
      <c r="K39" s="13"/>
      <c r="L39" s="11" t="s">
        <v>174</v>
      </c>
      <c r="M39" s="11" t="s">
        <v>175</v>
      </c>
    </row>
    <row r="40" spans="2:14">
      <c r="B40" s="14"/>
      <c r="C40" s="15"/>
      <c r="D40" s="15"/>
      <c r="E40" s="15"/>
      <c r="F40" s="15"/>
      <c r="G40" s="15"/>
      <c r="H40" s="15"/>
      <c r="I40" s="15" t="s">
        <v>176</v>
      </c>
      <c r="J40" s="16" t="s">
        <v>86</v>
      </c>
      <c r="K40" s="17"/>
      <c r="L40" s="15" t="s">
        <v>177</v>
      </c>
      <c r="M40" s="15" t="s">
        <v>86</v>
      </c>
    </row>
    <row r="41" spans="2:14">
      <c r="B41" s="14" t="s">
        <v>178</v>
      </c>
      <c r="C41" s="15" t="s">
        <v>179</v>
      </c>
      <c r="D41" s="15" t="s">
        <v>195</v>
      </c>
      <c r="E41" s="15" t="s">
        <v>181</v>
      </c>
      <c r="F41" s="15" t="s">
        <v>196</v>
      </c>
      <c r="G41" s="15" t="s">
        <v>197</v>
      </c>
      <c r="H41" s="15" t="s">
        <v>182</v>
      </c>
      <c r="I41" s="15" t="s">
        <v>183</v>
      </c>
      <c r="J41" s="11" t="s">
        <v>184</v>
      </c>
      <c r="K41" s="11" t="s">
        <v>185</v>
      </c>
      <c r="L41" s="15" t="s">
        <v>161</v>
      </c>
      <c r="M41" s="15" t="s">
        <v>185</v>
      </c>
    </row>
    <row r="42" spans="2:14" ht="13.5" thickBot="1">
      <c r="B42" s="18"/>
      <c r="C42" s="19"/>
      <c r="D42" s="19"/>
      <c r="E42" s="19"/>
      <c r="F42" s="19"/>
      <c r="G42" s="19"/>
      <c r="H42" s="19"/>
      <c r="I42" s="19" t="s">
        <v>187</v>
      </c>
      <c r="J42" s="19" t="s">
        <v>188</v>
      </c>
      <c r="K42" s="19" t="s">
        <v>189</v>
      </c>
      <c r="L42" s="19" t="s">
        <v>190</v>
      </c>
      <c r="M42" s="19" t="s">
        <v>182</v>
      </c>
    </row>
    <row r="43" spans="2:14">
      <c r="B43" s="20" t="s">
        <v>191</v>
      </c>
      <c r="C43" s="21">
        <v>4.9000000000000004</v>
      </c>
      <c r="D43" s="21">
        <v>5.3</v>
      </c>
      <c r="E43" s="21">
        <f>200000/2000</f>
        <v>100</v>
      </c>
      <c r="F43" s="21">
        <v>0.7</v>
      </c>
      <c r="G43" s="21">
        <v>0.45</v>
      </c>
      <c r="H43" s="22">
        <f>C43*((D43/12)^F43)*((E43/3)^G43)</f>
        <v>13.398548476625086</v>
      </c>
      <c r="I43" s="23">
        <f>$C$97</f>
        <v>1153.0776000000001</v>
      </c>
      <c r="J43" s="24">
        <f t="shared" ref="J43:J46" si="12">H43*I43</f>
        <v>15449.566120910511</v>
      </c>
      <c r="K43" s="23">
        <f t="shared" ref="K43:K46" si="13">J43/2000</f>
        <v>7.7247830604552554</v>
      </c>
      <c r="L43" s="21">
        <v>0</v>
      </c>
      <c r="M43" s="35">
        <f t="shared" ref="M43:M46" si="14">K43*((100-L43)/100)</f>
        <v>7.7247830604552554</v>
      </c>
      <c r="N43" s="32"/>
    </row>
    <row r="44" spans="2:14">
      <c r="B44" s="20" t="s">
        <v>192</v>
      </c>
      <c r="C44" s="21">
        <v>4.9000000000000004</v>
      </c>
      <c r="D44" s="21">
        <v>5.3</v>
      </c>
      <c r="E44" s="21">
        <f>150000/2000</f>
        <v>75</v>
      </c>
      <c r="F44" s="21">
        <v>0.7</v>
      </c>
      <c r="G44" s="21">
        <v>0.45</v>
      </c>
      <c r="H44" s="22">
        <f t="shared" ref="H44:H46" si="15">C44*((D44/12)^F44)*((E44/3)^G44)</f>
        <v>11.771595232331768</v>
      </c>
      <c r="I44" s="23">
        <f t="shared" ref="I44" si="16">$C$97</f>
        <v>1153.0776000000001</v>
      </c>
      <c r="J44" s="24">
        <f t="shared" si="12"/>
        <v>13573.562778668558</v>
      </c>
      <c r="K44" s="23">
        <f t="shared" si="13"/>
        <v>6.786781389334279</v>
      </c>
      <c r="L44" s="21">
        <v>0</v>
      </c>
      <c r="M44" s="35">
        <f t="shared" si="14"/>
        <v>6.786781389334279</v>
      </c>
      <c r="N44" s="32"/>
    </row>
    <row r="45" spans="2:14" hidden="1">
      <c r="B45" s="20" t="s">
        <v>191</v>
      </c>
      <c r="C45" s="21">
        <v>4.9000000000000004</v>
      </c>
      <c r="D45" s="21">
        <v>6</v>
      </c>
      <c r="E45" s="21">
        <f>200000/2000</f>
        <v>100</v>
      </c>
      <c r="F45" s="21">
        <v>0.7</v>
      </c>
      <c r="G45" s="21">
        <v>0.45</v>
      </c>
      <c r="H45" s="22">
        <f t="shared" si="15"/>
        <v>14.614047629289653</v>
      </c>
      <c r="I45" s="23"/>
      <c r="J45" s="24">
        <f t="shared" si="12"/>
        <v>0</v>
      </c>
      <c r="K45" s="23">
        <f t="shared" si="13"/>
        <v>0</v>
      </c>
      <c r="L45" s="21">
        <v>90</v>
      </c>
      <c r="M45" s="35">
        <f t="shared" si="14"/>
        <v>0</v>
      </c>
      <c r="N45" s="32"/>
    </row>
    <row r="46" spans="2:14" hidden="1">
      <c r="B46" s="20" t="s">
        <v>192</v>
      </c>
      <c r="C46" s="21">
        <v>4.9000000000000004</v>
      </c>
      <c r="D46" s="21">
        <v>6</v>
      </c>
      <c r="E46" s="21">
        <f>150000/2000</f>
        <v>75</v>
      </c>
      <c r="F46" s="21">
        <v>0.7</v>
      </c>
      <c r="G46" s="21">
        <v>0.45</v>
      </c>
      <c r="H46" s="22">
        <f t="shared" si="15"/>
        <v>12.839499270994736</v>
      </c>
      <c r="I46" s="23"/>
      <c r="J46" s="24">
        <f t="shared" si="12"/>
        <v>0</v>
      </c>
      <c r="K46" s="23">
        <f t="shared" si="13"/>
        <v>0</v>
      </c>
      <c r="L46" s="21">
        <v>90</v>
      </c>
      <c r="M46" s="35">
        <f t="shared" si="14"/>
        <v>0</v>
      </c>
      <c r="N46" s="32"/>
    </row>
    <row r="47" spans="2:14">
      <c r="B47" s="25" t="s">
        <v>193</v>
      </c>
      <c r="C47" s="26"/>
      <c r="D47" s="26"/>
      <c r="E47" s="26"/>
      <c r="F47" s="26"/>
      <c r="G47" s="26"/>
      <c r="H47" s="27"/>
      <c r="I47" s="28">
        <f>SUM(I43:I46)</f>
        <v>2306.1552000000001</v>
      </c>
      <c r="J47" s="29">
        <f>SUM(J43:J46)</f>
        <v>29023.128899579067</v>
      </c>
      <c r="K47" s="29">
        <f>SUM(K43:K46)</f>
        <v>14.511564449789535</v>
      </c>
      <c r="L47" s="26"/>
      <c r="M47" s="31">
        <f>SUM(M43:M46)</f>
        <v>14.511564449789535</v>
      </c>
    </row>
    <row r="49" spans="2:13">
      <c r="B49" s="9" t="s">
        <v>57</v>
      </c>
    </row>
    <row r="50" spans="2:13">
      <c r="B50" s="10"/>
      <c r="C50" s="11"/>
      <c r="D50" s="11"/>
      <c r="E50" s="11"/>
      <c r="F50" s="11"/>
      <c r="G50" s="11"/>
      <c r="H50" s="11"/>
      <c r="I50" s="11" t="s">
        <v>173</v>
      </c>
      <c r="J50" s="12" t="s">
        <v>162</v>
      </c>
      <c r="K50" s="13"/>
      <c r="L50" s="11" t="s">
        <v>174</v>
      </c>
      <c r="M50" s="11" t="s">
        <v>175</v>
      </c>
    </row>
    <row r="51" spans="2:13">
      <c r="B51" s="14"/>
      <c r="C51" s="15"/>
      <c r="D51" s="15"/>
      <c r="E51" s="15"/>
      <c r="F51" s="15"/>
      <c r="G51" s="15"/>
      <c r="H51" s="15"/>
      <c r="I51" s="15" t="s">
        <v>176</v>
      </c>
      <c r="J51" s="16" t="s">
        <v>86</v>
      </c>
      <c r="K51" s="17"/>
      <c r="L51" s="15" t="s">
        <v>177</v>
      </c>
      <c r="M51" s="15" t="s">
        <v>86</v>
      </c>
    </row>
    <row r="52" spans="2:13">
      <c r="B52" s="14" t="s">
        <v>178</v>
      </c>
      <c r="C52" s="15" t="s">
        <v>179</v>
      </c>
      <c r="D52" s="15" t="s">
        <v>195</v>
      </c>
      <c r="E52" s="15" t="s">
        <v>181</v>
      </c>
      <c r="F52" s="15" t="s">
        <v>196</v>
      </c>
      <c r="G52" s="15" t="s">
        <v>197</v>
      </c>
      <c r="H52" s="15" t="s">
        <v>182</v>
      </c>
      <c r="I52" s="15" t="s">
        <v>183</v>
      </c>
      <c r="J52" s="11" t="s">
        <v>184</v>
      </c>
      <c r="K52" s="11" t="s">
        <v>185</v>
      </c>
      <c r="L52" s="15" t="s">
        <v>161</v>
      </c>
      <c r="M52" s="15" t="s">
        <v>185</v>
      </c>
    </row>
    <row r="53" spans="2:13" ht="13.5" thickBot="1">
      <c r="B53" s="18"/>
      <c r="C53" s="19"/>
      <c r="D53" s="19"/>
      <c r="E53" s="19"/>
      <c r="F53" s="19"/>
      <c r="G53" s="19"/>
      <c r="H53" s="19"/>
      <c r="I53" s="19" t="s">
        <v>187</v>
      </c>
      <c r="J53" s="19" t="s">
        <v>188</v>
      </c>
      <c r="K53" s="19" t="s">
        <v>189</v>
      </c>
      <c r="L53" s="19" t="s">
        <v>190</v>
      </c>
      <c r="M53" s="19" t="s">
        <v>182</v>
      </c>
    </row>
    <row r="54" spans="2:13" ht="27" customHeight="1">
      <c r="B54" s="20" t="s">
        <v>191</v>
      </c>
      <c r="C54" s="21">
        <v>1.5</v>
      </c>
      <c r="D54" s="21">
        <f t="shared" ref="D54:E57" si="17">D43</f>
        <v>5.3</v>
      </c>
      <c r="E54" s="21">
        <f t="shared" si="17"/>
        <v>100</v>
      </c>
      <c r="F54" s="21">
        <v>0.9</v>
      </c>
      <c r="G54" s="21">
        <f>G43</f>
        <v>0.45</v>
      </c>
      <c r="H54" s="22">
        <f>C54*((D54/12)^F54)*((E54/3)^G54)</f>
        <v>3.483147418347829</v>
      </c>
      <c r="I54" s="23">
        <f>I43</f>
        <v>1153.0776000000001</v>
      </c>
      <c r="J54" s="24">
        <f t="shared" ref="J54:J57" si="18">H54*I54</f>
        <v>4016.3392655947109</v>
      </c>
      <c r="K54" s="23">
        <f t="shared" ref="K54:K57" si="19">J54/2000</f>
        <v>2.0081696327973555</v>
      </c>
      <c r="L54" s="21">
        <f>L43</f>
        <v>0</v>
      </c>
      <c r="M54" s="35">
        <f t="shared" ref="M54:M57" si="20">K54*((100-L54)/100)</f>
        <v>2.0081696327973555</v>
      </c>
    </row>
    <row r="55" spans="2:13">
      <c r="B55" s="20" t="s">
        <v>192</v>
      </c>
      <c r="C55" s="21">
        <v>1.5</v>
      </c>
      <c r="D55" s="21">
        <f t="shared" si="17"/>
        <v>5.3</v>
      </c>
      <c r="E55" s="21">
        <f t="shared" si="17"/>
        <v>75</v>
      </c>
      <c r="F55" s="21">
        <v>0.9</v>
      </c>
      <c r="G55" s="21">
        <f>G44</f>
        <v>0.45</v>
      </c>
      <c r="H55" s="22">
        <f t="shared" ref="H55:H57" si="21">C55*((D55/12)^F55)*((E55/3)^G55)</f>
        <v>3.0601972754633722</v>
      </c>
      <c r="I55" s="23">
        <f>I44</f>
        <v>1153.0776000000001</v>
      </c>
      <c r="J55" s="24">
        <f t="shared" si="18"/>
        <v>3528.6449299178444</v>
      </c>
      <c r="K55" s="23">
        <f t="shared" si="19"/>
        <v>1.7643224649589222</v>
      </c>
      <c r="L55" s="21">
        <f>L44</f>
        <v>0</v>
      </c>
      <c r="M55" s="35">
        <f t="shared" si="20"/>
        <v>1.7643224649589222</v>
      </c>
    </row>
    <row r="56" spans="2:13" hidden="1">
      <c r="B56" s="20" t="s">
        <v>191</v>
      </c>
      <c r="C56" s="21">
        <v>1.5</v>
      </c>
      <c r="D56" s="21">
        <f t="shared" si="17"/>
        <v>6</v>
      </c>
      <c r="E56" s="21">
        <f t="shared" si="17"/>
        <v>100</v>
      </c>
      <c r="F56" s="21">
        <v>0.9</v>
      </c>
      <c r="G56" s="21">
        <f>G45</f>
        <v>0.45</v>
      </c>
      <c r="H56" s="22">
        <f t="shared" si="21"/>
        <v>3.8945716517493345</v>
      </c>
      <c r="I56" s="23">
        <f>I45</f>
        <v>0</v>
      </c>
      <c r="J56" s="24">
        <f t="shared" si="18"/>
        <v>0</v>
      </c>
      <c r="K56" s="23">
        <f t="shared" si="19"/>
        <v>0</v>
      </c>
      <c r="L56" s="21">
        <f>L45</f>
        <v>90</v>
      </c>
      <c r="M56" s="35">
        <f t="shared" si="20"/>
        <v>0</v>
      </c>
    </row>
    <row r="57" spans="2:13" hidden="1">
      <c r="B57" s="20" t="s">
        <v>192</v>
      </c>
      <c r="C57" s="21">
        <v>1.5</v>
      </c>
      <c r="D57" s="21">
        <f t="shared" si="17"/>
        <v>6</v>
      </c>
      <c r="E57" s="21">
        <f t="shared" si="17"/>
        <v>75</v>
      </c>
      <c r="F57" s="21">
        <v>0.9</v>
      </c>
      <c r="G57" s="21">
        <f>G46</f>
        <v>0.45</v>
      </c>
      <c r="H57" s="22">
        <f t="shared" si="21"/>
        <v>3.4216632620830536</v>
      </c>
      <c r="I57" s="23">
        <f>I46</f>
        <v>0</v>
      </c>
      <c r="J57" s="24">
        <f t="shared" si="18"/>
        <v>0</v>
      </c>
      <c r="K57" s="23">
        <f t="shared" si="19"/>
        <v>0</v>
      </c>
      <c r="L57" s="21">
        <f>L46</f>
        <v>90</v>
      </c>
      <c r="M57" s="35">
        <f t="shared" si="20"/>
        <v>0</v>
      </c>
    </row>
    <row r="58" spans="2:13">
      <c r="B58" s="25" t="s">
        <v>193</v>
      </c>
      <c r="C58" s="26"/>
      <c r="D58" s="26"/>
      <c r="E58" s="26"/>
      <c r="F58" s="26"/>
      <c r="G58" s="26"/>
      <c r="H58" s="27"/>
      <c r="I58" s="28">
        <f>SUM(I54:I57)</f>
        <v>2306.1552000000001</v>
      </c>
      <c r="J58" s="29">
        <f>SUM(J54:J57)</f>
        <v>7544.9841955125557</v>
      </c>
      <c r="K58" s="29">
        <f>SUM(K54:K57)</f>
        <v>3.7724920977562775</v>
      </c>
      <c r="L58" s="26"/>
      <c r="M58" s="31">
        <f>SUM(M54:M57)</f>
        <v>3.7724920977562775</v>
      </c>
    </row>
    <row r="60" spans="2:13">
      <c r="B60" s="9" t="s">
        <v>58</v>
      </c>
    </row>
    <row r="61" spans="2:13">
      <c r="B61" s="10"/>
      <c r="C61" s="11"/>
      <c r="D61" s="11"/>
      <c r="E61" s="11"/>
      <c r="F61" s="11"/>
      <c r="G61" s="11"/>
      <c r="H61" s="11"/>
      <c r="I61" s="11" t="s">
        <v>173</v>
      </c>
      <c r="J61" s="12" t="s">
        <v>162</v>
      </c>
      <c r="K61" s="13"/>
      <c r="L61" s="11" t="s">
        <v>174</v>
      </c>
      <c r="M61" s="11" t="s">
        <v>175</v>
      </c>
    </row>
    <row r="62" spans="2:13">
      <c r="B62" s="14"/>
      <c r="C62" s="15"/>
      <c r="D62" s="15"/>
      <c r="E62" s="15"/>
      <c r="F62" s="15"/>
      <c r="G62" s="15"/>
      <c r="H62" s="15"/>
      <c r="I62" s="15" t="s">
        <v>176</v>
      </c>
      <c r="J62" s="16" t="s">
        <v>86</v>
      </c>
      <c r="K62" s="17"/>
      <c r="L62" s="15" t="s">
        <v>177</v>
      </c>
      <c r="M62" s="15" t="s">
        <v>86</v>
      </c>
    </row>
    <row r="63" spans="2:13">
      <c r="B63" s="14" t="s">
        <v>178</v>
      </c>
      <c r="C63" s="15" t="s">
        <v>179</v>
      </c>
      <c r="D63" s="15" t="s">
        <v>195</v>
      </c>
      <c r="E63" s="15" t="s">
        <v>181</v>
      </c>
      <c r="F63" s="15" t="s">
        <v>196</v>
      </c>
      <c r="G63" s="15" t="s">
        <v>197</v>
      </c>
      <c r="H63" s="15" t="s">
        <v>182</v>
      </c>
      <c r="I63" s="15" t="s">
        <v>183</v>
      </c>
      <c r="J63" s="11" t="s">
        <v>184</v>
      </c>
      <c r="K63" s="11" t="s">
        <v>185</v>
      </c>
      <c r="L63" s="15" t="s">
        <v>161</v>
      </c>
      <c r="M63" s="15" t="s">
        <v>185</v>
      </c>
    </row>
    <row r="64" spans="2:13" ht="13.5" thickBot="1">
      <c r="B64" s="18"/>
      <c r="C64" s="19"/>
      <c r="D64" s="19"/>
      <c r="E64" s="19"/>
      <c r="F64" s="19"/>
      <c r="G64" s="19"/>
      <c r="H64" s="19"/>
      <c r="I64" s="19" t="s">
        <v>187</v>
      </c>
      <c r="J64" s="19" t="s">
        <v>188</v>
      </c>
      <c r="K64" s="19" t="s">
        <v>189</v>
      </c>
      <c r="L64" s="19" t="s">
        <v>190</v>
      </c>
      <c r="M64" s="19" t="s">
        <v>182</v>
      </c>
    </row>
    <row r="65" spans="2:13">
      <c r="B65" s="20" t="s">
        <v>191</v>
      </c>
      <c r="C65" s="21">
        <v>0.15</v>
      </c>
      <c r="D65" s="21">
        <f t="shared" ref="D65:G68" si="22">D54</f>
        <v>5.3</v>
      </c>
      <c r="E65" s="21">
        <f t="shared" si="22"/>
        <v>100</v>
      </c>
      <c r="F65" s="21">
        <f t="shared" si="22"/>
        <v>0.9</v>
      </c>
      <c r="G65" s="21">
        <f t="shared" si="22"/>
        <v>0.45</v>
      </c>
      <c r="H65" s="22">
        <f>C65*((D65/12)^F65)*((E65/3)^G65)</f>
        <v>0.34831474183478289</v>
      </c>
      <c r="I65" s="23">
        <f>I54</f>
        <v>1153.0776000000001</v>
      </c>
      <c r="J65" s="24">
        <f>H65*I65</f>
        <v>401.63392655947109</v>
      </c>
      <c r="K65" s="23">
        <f t="shared" ref="K65:K68" si="23">J65/2000</f>
        <v>0.20081696327973556</v>
      </c>
      <c r="L65" s="21">
        <f>L54</f>
        <v>0</v>
      </c>
      <c r="M65" s="35">
        <f>K65*((100-L65)/100)</f>
        <v>0.20081696327973556</v>
      </c>
    </row>
    <row r="66" spans="2:13">
      <c r="B66" s="20" t="s">
        <v>192</v>
      </c>
      <c r="C66" s="21">
        <v>0.15</v>
      </c>
      <c r="D66" s="21">
        <f t="shared" si="22"/>
        <v>5.3</v>
      </c>
      <c r="E66" s="21">
        <f t="shared" si="22"/>
        <v>75</v>
      </c>
      <c r="F66" s="21">
        <f t="shared" si="22"/>
        <v>0.9</v>
      </c>
      <c r="G66" s="21">
        <f t="shared" si="22"/>
        <v>0.45</v>
      </c>
      <c r="H66" s="22">
        <f t="shared" ref="H66:H68" si="24">C66*((D66/12)^F66)*((E66/3)^G66)</f>
        <v>0.30601972754633722</v>
      </c>
      <c r="I66" s="23">
        <f>I55</f>
        <v>1153.0776000000001</v>
      </c>
      <c r="J66" s="24">
        <f t="shared" ref="J66:J68" si="25">H66*I66</f>
        <v>352.8644929917844</v>
      </c>
      <c r="K66" s="23">
        <f t="shared" si="23"/>
        <v>0.1764322464958922</v>
      </c>
      <c r="L66" s="21">
        <f>L55</f>
        <v>0</v>
      </c>
      <c r="M66" s="35">
        <f t="shared" ref="M66:M67" si="26">K66*((100-L66)/100)</f>
        <v>0.1764322464958922</v>
      </c>
    </row>
    <row r="67" spans="2:13" hidden="1">
      <c r="B67" s="20" t="s">
        <v>191</v>
      </c>
      <c r="C67" s="21">
        <v>0.15</v>
      </c>
      <c r="D67" s="21">
        <f t="shared" si="22"/>
        <v>6</v>
      </c>
      <c r="E67" s="21">
        <f t="shared" si="22"/>
        <v>100</v>
      </c>
      <c r="F67" s="21">
        <f t="shared" si="22"/>
        <v>0.9</v>
      </c>
      <c r="G67" s="21">
        <f t="shared" si="22"/>
        <v>0.45</v>
      </c>
      <c r="H67" s="22">
        <f t="shared" si="24"/>
        <v>0.3894571651749334</v>
      </c>
      <c r="I67" s="23">
        <f>I56</f>
        <v>0</v>
      </c>
      <c r="J67" s="24">
        <f t="shared" si="25"/>
        <v>0</v>
      </c>
      <c r="K67" s="23">
        <f t="shared" si="23"/>
        <v>0</v>
      </c>
      <c r="L67" s="21">
        <f>L56</f>
        <v>90</v>
      </c>
      <c r="M67" s="35">
        <f t="shared" si="26"/>
        <v>0</v>
      </c>
    </row>
    <row r="68" spans="2:13" hidden="1">
      <c r="B68" s="20" t="s">
        <v>192</v>
      </c>
      <c r="C68" s="21">
        <v>0.15</v>
      </c>
      <c r="D68" s="21">
        <f t="shared" si="22"/>
        <v>6</v>
      </c>
      <c r="E68" s="21">
        <f t="shared" si="22"/>
        <v>75</v>
      </c>
      <c r="F68" s="21">
        <f t="shared" si="22"/>
        <v>0.9</v>
      </c>
      <c r="G68" s="21">
        <f t="shared" si="22"/>
        <v>0.45</v>
      </c>
      <c r="H68" s="22">
        <f t="shared" si="24"/>
        <v>0.34216632620830534</v>
      </c>
      <c r="I68" s="23">
        <f>I57</f>
        <v>0</v>
      </c>
      <c r="J68" s="24">
        <f t="shared" si="25"/>
        <v>0</v>
      </c>
      <c r="K68" s="23">
        <f t="shared" si="23"/>
        <v>0</v>
      </c>
      <c r="L68" s="21">
        <f>L57</f>
        <v>90</v>
      </c>
      <c r="M68" s="35">
        <f>K68*((100-L68)/100)</f>
        <v>0</v>
      </c>
    </row>
    <row r="69" spans="2:13">
      <c r="B69" s="25" t="s">
        <v>193</v>
      </c>
      <c r="C69" s="27"/>
      <c r="D69" s="26"/>
      <c r="E69" s="26"/>
      <c r="F69" s="26"/>
      <c r="G69" s="26"/>
      <c r="H69" s="27"/>
      <c r="I69" s="28">
        <f>SUM(I65:I68)</f>
        <v>2306.1552000000001</v>
      </c>
      <c r="J69" s="29">
        <f>SUM(J65:J68)</f>
        <v>754.49841955125544</v>
      </c>
      <c r="K69" s="29">
        <f>SUM(K65:K68)</f>
        <v>0.37724920977562776</v>
      </c>
      <c r="L69" s="26"/>
      <c r="M69" s="31">
        <f>SUM(M65:M68)</f>
        <v>0.37724920977562776</v>
      </c>
    </row>
    <row r="71" spans="2:13">
      <c r="B71" s="2" t="s">
        <v>198</v>
      </c>
    </row>
    <row r="72" spans="2:13">
      <c r="B72" s="2" t="s">
        <v>199</v>
      </c>
    </row>
    <row r="73" spans="2:13" ht="15">
      <c r="B73" s="2" t="s">
        <v>200</v>
      </c>
      <c r="C73" s="2" t="s">
        <v>201</v>
      </c>
    </row>
    <row r="74" spans="2:13">
      <c r="C74" s="2" t="s">
        <v>202</v>
      </c>
    </row>
    <row r="75" spans="2:13">
      <c r="C75" s="36" t="s">
        <v>203</v>
      </c>
    </row>
    <row r="76" spans="2:13" ht="15">
      <c r="C76" s="2" t="s">
        <v>204</v>
      </c>
    </row>
    <row r="77" spans="2:13">
      <c r="C77" s="2" t="s">
        <v>205</v>
      </c>
    </row>
    <row r="78" spans="2:13">
      <c r="B78" s="2" t="s">
        <v>206</v>
      </c>
    </row>
    <row r="79" spans="2:13" ht="15">
      <c r="B79" s="2" t="s">
        <v>207</v>
      </c>
      <c r="C79" s="2" t="s">
        <v>201</v>
      </c>
    </row>
    <row r="80" spans="2:13">
      <c r="C80" s="2" t="s">
        <v>208</v>
      </c>
    </row>
    <row r="81" spans="2:5">
      <c r="C81" s="2" t="s">
        <v>209</v>
      </c>
    </row>
    <row r="82" spans="2:5">
      <c r="C82" s="2" t="s">
        <v>210</v>
      </c>
    </row>
    <row r="83" spans="2:5">
      <c r="B83" s="2" t="s">
        <v>323</v>
      </c>
    </row>
    <row r="84" spans="2:5">
      <c r="B84" s="36" t="s">
        <v>324</v>
      </c>
    </row>
    <row r="85" spans="2:5">
      <c r="B85" s="2" t="s">
        <v>214</v>
      </c>
    </row>
    <row r="86" spans="2:5">
      <c r="B86" s="2" t="s">
        <v>215</v>
      </c>
    </row>
    <row r="87" spans="2:5">
      <c r="B87" s="2" t="s">
        <v>216</v>
      </c>
    </row>
    <row r="88" spans="2:5">
      <c r="B88" s="2" t="s">
        <v>217</v>
      </c>
    </row>
    <row r="90" spans="2:5">
      <c r="B90" s="2" t="s">
        <v>218</v>
      </c>
      <c r="C90" s="37">
        <f>_xlfn.XLOOKUP(E90,'8b. Baseline Emissions_Other'!$B:$B,'8b. Baseline Emissions_Other'!$D:$D)</f>
        <v>480449</v>
      </c>
      <c r="D90" s="2" t="s">
        <v>80</v>
      </c>
      <c r="E90" s="2">
        <v>2021</v>
      </c>
    </row>
    <row r="91" spans="2:5">
      <c r="B91" s="2" t="s">
        <v>219</v>
      </c>
      <c r="C91" s="2">
        <f>SUM(C94:C95)</f>
        <v>0.85500000000000009</v>
      </c>
      <c r="D91" s="2" t="s">
        <v>220</v>
      </c>
    </row>
    <row r="92" spans="2:5">
      <c r="B92" s="2" t="s">
        <v>221</v>
      </c>
      <c r="C92" s="2">
        <f>E13-E14</f>
        <v>25</v>
      </c>
      <c r="D92" s="2" t="s">
        <v>222</v>
      </c>
    </row>
    <row r="93" spans="2:5">
      <c r="B93" s="2" t="s">
        <v>223</v>
      </c>
      <c r="C93" s="2">
        <f>C90/C92</f>
        <v>19217.96</v>
      </c>
      <c r="D93" s="2" t="s">
        <v>224</v>
      </c>
    </row>
    <row r="94" spans="2:5">
      <c r="B94" s="2" t="s">
        <v>228</v>
      </c>
      <c r="C94" s="2">
        <f>AVERAGE(0.79, 0.8)</f>
        <v>0.79500000000000004</v>
      </c>
      <c r="D94" s="2" t="s">
        <v>229</v>
      </c>
      <c r="E94" s="2" t="s">
        <v>230</v>
      </c>
    </row>
    <row r="95" spans="2:5">
      <c r="B95" s="2" t="s">
        <v>231</v>
      </c>
      <c r="C95" s="2">
        <f>AVERAGE(0.07,0.05)</f>
        <v>6.0000000000000005E-2</v>
      </c>
      <c r="D95" s="2" t="s">
        <v>229</v>
      </c>
      <c r="E95" s="2" t="s">
        <v>230</v>
      </c>
    </row>
    <row r="96" spans="2:5">
      <c r="B96" s="2" t="s">
        <v>232</v>
      </c>
      <c r="C96" s="2">
        <f>C94*C93</f>
        <v>15278.278200000001</v>
      </c>
      <c r="D96" s="2" t="s">
        <v>233</v>
      </c>
    </row>
    <row r="97" spans="2:4">
      <c r="B97" s="2" t="s">
        <v>235</v>
      </c>
      <c r="C97" s="2">
        <f>C95*C93</f>
        <v>1153.0776000000001</v>
      </c>
      <c r="D97" s="2" t="s">
        <v>233</v>
      </c>
    </row>
  </sheetData>
  <pageMargins left="0.7" right="0.7" top="0.75" bottom="0.75" header="0.3" footer="0.3"/>
  <pageSetup scale="66" fitToHeight="2" orientation="landscape" r:id="rId1"/>
  <rowBreaks count="1" manualBreakCount="1">
    <brk id="35" min="1" max="1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B9BB3-7633-4258-944F-9BA56D95BCA2}">
  <sheetPr>
    <tabColor rgb="FF92D050"/>
    <pageSetUpPr fitToPage="1"/>
  </sheetPr>
  <dimension ref="A2:AE54"/>
  <sheetViews>
    <sheetView topLeftCell="A8" zoomScale="150" zoomScaleNormal="150" zoomScaleSheetLayoutView="140" workbookViewId="0">
      <pane xSplit="2" topLeftCell="C1" activePane="topRight" state="frozen"/>
      <selection activeCell="L46" sqref="L46"/>
      <selection pane="topRight" activeCell="F27" sqref="F27"/>
    </sheetView>
  </sheetViews>
  <sheetFormatPr defaultColWidth="9.28515625" defaultRowHeight="13.5"/>
  <cols>
    <col min="1" max="1" width="9.28515625" style="245"/>
    <col min="2" max="2" width="37.7109375" style="245" bestFit="1" customWidth="1"/>
    <col min="3" max="3" width="12" style="245" customWidth="1"/>
    <col min="4" max="4" width="12" style="245" bestFit="1" customWidth="1"/>
    <col min="5" max="5" width="12" style="245" customWidth="1"/>
    <col min="6" max="6" width="12" style="245" bestFit="1" customWidth="1"/>
    <col min="7" max="7" width="12" style="245" customWidth="1"/>
    <col min="8" max="8" width="12" style="245" bestFit="1" customWidth="1"/>
    <col min="9" max="21" width="12" style="245" customWidth="1"/>
    <col min="22" max="22" width="12.28515625" style="245" bestFit="1" customWidth="1"/>
    <col min="23" max="37" width="12" style="245" customWidth="1"/>
    <col min="38" max="61" width="15.7109375" style="245" customWidth="1"/>
    <col min="62" max="16384" width="9.28515625" style="245"/>
  </cols>
  <sheetData>
    <row r="2" spans="1:31" s="238" customFormat="1" ht="15" customHeight="1">
      <c r="B2" s="234" t="s">
        <v>0</v>
      </c>
      <c r="C2" s="235" t="str">
        <f>'1. Step 1 Evaluation'!C2</f>
        <v>U. S. Steel</v>
      </c>
      <c r="D2" s="237"/>
      <c r="H2" s="237"/>
      <c r="I2" s="237"/>
      <c r="J2" s="237"/>
      <c r="K2" s="237"/>
      <c r="L2" s="237"/>
      <c r="M2" s="237"/>
      <c r="N2" s="237"/>
      <c r="O2" s="237"/>
      <c r="P2" s="237"/>
      <c r="Q2" s="237"/>
      <c r="R2" s="237"/>
      <c r="S2" s="237"/>
      <c r="T2" s="237"/>
      <c r="U2" s="237"/>
      <c r="V2" s="239"/>
      <c r="W2" s="237"/>
      <c r="X2" s="237"/>
      <c r="Y2" s="237"/>
      <c r="Z2" s="237"/>
      <c r="AA2" s="237"/>
      <c r="AB2" s="237"/>
      <c r="AC2" s="237"/>
      <c r="AD2" s="237"/>
      <c r="AE2" s="237"/>
    </row>
    <row r="3" spans="1:31" s="238" customFormat="1" ht="15" customHeight="1">
      <c r="B3" s="234" t="s">
        <v>2</v>
      </c>
      <c r="C3" s="235" t="str">
        <f>'1. Step 1 Evaluation'!C3</f>
        <v>Edgar Thomson Plant</v>
      </c>
      <c r="D3" s="237"/>
      <c r="E3" s="240"/>
      <c r="H3" s="237"/>
      <c r="I3" s="237"/>
      <c r="J3" s="237"/>
      <c r="K3" s="237"/>
      <c r="L3" s="237"/>
      <c r="M3" s="237"/>
      <c r="N3" s="237"/>
      <c r="O3" s="237"/>
      <c r="P3" s="237"/>
      <c r="Q3" s="237"/>
      <c r="R3" s="237"/>
      <c r="S3" s="237"/>
      <c r="T3" s="237"/>
      <c r="U3" s="237"/>
      <c r="V3" s="239"/>
      <c r="W3" s="237"/>
      <c r="X3" s="237"/>
      <c r="Y3" s="237"/>
      <c r="Z3" s="237"/>
      <c r="AA3" s="237"/>
      <c r="AB3" s="237"/>
      <c r="AC3" s="237"/>
      <c r="AD3" s="237"/>
      <c r="AE3" s="237"/>
    </row>
    <row r="4" spans="1:31" s="238" customFormat="1" ht="15" customHeight="1">
      <c r="B4" s="234" t="s">
        <v>4</v>
      </c>
      <c r="C4" s="235" t="str">
        <f>'1. Step 1 Evaluation'!C4</f>
        <v>Slag Recycler Project</v>
      </c>
      <c r="D4" s="237"/>
      <c r="E4" s="240"/>
      <c r="F4" s="240"/>
      <c r="G4" s="240"/>
      <c r="H4" s="237"/>
      <c r="I4" s="237"/>
      <c r="J4" s="237"/>
      <c r="K4" s="237"/>
      <c r="L4" s="237"/>
      <c r="M4" s="237"/>
      <c r="N4" s="237"/>
      <c r="O4" s="237"/>
      <c r="P4" s="237"/>
      <c r="Q4" s="237"/>
      <c r="R4" s="237"/>
      <c r="S4" s="237"/>
      <c r="T4" s="237"/>
      <c r="U4" s="237"/>
      <c r="V4" s="239"/>
      <c r="W4" s="237"/>
      <c r="X4" s="237"/>
      <c r="Y4" s="237"/>
      <c r="Z4" s="237"/>
      <c r="AA4" s="237"/>
      <c r="AB4" s="237"/>
      <c r="AC4" s="237"/>
      <c r="AD4" s="237"/>
      <c r="AE4" s="237"/>
    </row>
    <row r="5" spans="1:31" s="238" customFormat="1" ht="15" customHeight="1">
      <c r="B5" s="234"/>
      <c r="C5" s="236"/>
      <c r="D5" s="237"/>
      <c r="E5" s="240"/>
      <c r="F5" s="240"/>
      <c r="G5" s="240"/>
      <c r="H5" s="237"/>
      <c r="I5" s="237"/>
      <c r="J5" s="237"/>
      <c r="K5" s="237"/>
      <c r="L5" s="237"/>
      <c r="M5" s="237"/>
      <c r="N5" s="237"/>
      <c r="O5" s="237"/>
      <c r="P5" s="237"/>
      <c r="Q5" s="237"/>
      <c r="R5" s="237"/>
      <c r="S5" s="237"/>
      <c r="T5" s="237"/>
      <c r="U5" s="237"/>
      <c r="V5" s="239"/>
      <c r="W5" s="237"/>
      <c r="X5" s="237"/>
      <c r="Y5" s="237"/>
      <c r="Z5" s="237"/>
      <c r="AA5" s="237"/>
      <c r="AB5" s="237"/>
      <c r="AC5" s="237"/>
      <c r="AD5" s="237"/>
      <c r="AE5" s="237"/>
    </row>
    <row r="6" spans="1:31" s="244" customFormat="1">
      <c r="B6" s="241" t="s">
        <v>38</v>
      </c>
      <c r="C6" s="242"/>
      <c r="D6" s="243"/>
    </row>
    <row r="7" spans="1:31" ht="14.25" thickBot="1"/>
    <row r="8" spans="1:31" ht="40.5" customHeight="1" thickBot="1">
      <c r="C8" s="443">
        <f>'1. Step 1 Evaluation'!$C$28</f>
        <v>44530</v>
      </c>
      <c r="D8" s="444"/>
      <c r="E8" s="443">
        <f>'1. Step 1 Evaluation'!$C$28</f>
        <v>44530</v>
      </c>
      <c r="F8" s="444"/>
      <c r="G8" s="443">
        <f>'1. Step 1 Evaluation'!$C$28</f>
        <v>44530</v>
      </c>
      <c r="H8" s="444"/>
      <c r="I8" s="443">
        <f>'1. Step 1 Evaluation'!$C$28</f>
        <v>44530</v>
      </c>
      <c r="J8" s="444"/>
      <c r="K8" s="443">
        <f>'1. Step 1 Evaluation'!$C$28</f>
        <v>44530</v>
      </c>
      <c r="L8" s="444"/>
      <c r="M8" s="443">
        <f>'1. Step 1 Evaluation'!$C$28</f>
        <v>44530</v>
      </c>
      <c r="N8" s="444"/>
      <c r="O8" s="443">
        <f>'1. Step 1 Evaluation'!$C$28</f>
        <v>44530</v>
      </c>
      <c r="P8" s="444"/>
      <c r="Q8" s="443">
        <f>'1. Step 1 Evaluation'!$C$28</f>
        <v>44530</v>
      </c>
      <c r="R8" s="444"/>
      <c r="S8" s="443">
        <f>'1. Step 1 Evaluation'!$C$28</f>
        <v>44530</v>
      </c>
      <c r="T8" s="447"/>
    </row>
    <row r="9" spans="1:31" ht="27.75" customHeight="1" thickBot="1">
      <c r="C9" s="449" t="s">
        <v>39</v>
      </c>
      <c r="D9" s="445"/>
      <c r="E9" s="446" t="s">
        <v>40</v>
      </c>
      <c r="F9" s="445"/>
      <c r="G9" s="446" t="s">
        <v>41</v>
      </c>
      <c r="H9" s="445"/>
      <c r="I9" s="445" t="s">
        <v>42</v>
      </c>
      <c r="J9" s="445"/>
      <c r="K9" s="445" t="s">
        <v>43</v>
      </c>
      <c r="L9" s="445"/>
      <c r="M9" s="445" t="s">
        <v>21</v>
      </c>
      <c r="N9" s="445"/>
      <c r="O9" s="445" t="s">
        <v>22</v>
      </c>
      <c r="P9" s="445"/>
      <c r="Q9" s="446" t="s">
        <v>24</v>
      </c>
      <c r="R9" s="445"/>
      <c r="S9" s="446" t="s">
        <v>44</v>
      </c>
      <c r="T9" s="448"/>
    </row>
    <row r="10" spans="1:31" ht="14.25" thickBot="1">
      <c r="B10" s="246" t="s">
        <v>45</v>
      </c>
      <c r="C10" s="247" t="s">
        <v>46</v>
      </c>
      <c r="D10" s="248" t="s">
        <v>47</v>
      </c>
      <c r="E10" s="335" t="s">
        <v>46</v>
      </c>
      <c r="F10" s="248" t="s">
        <v>47</v>
      </c>
      <c r="G10" s="335" t="s">
        <v>46</v>
      </c>
      <c r="H10" s="248" t="s">
        <v>47</v>
      </c>
      <c r="I10" s="248" t="s">
        <v>46</v>
      </c>
      <c r="J10" s="248" t="s">
        <v>47</v>
      </c>
      <c r="K10" s="248" t="s">
        <v>46</v>
      </c>
      <c r="L10" s="248" t="s">
        <v>47</v>
      </c>
      <c r="M10" s="248" t="s">
        <v>46</v>
      </c>
      <c r="N10" s="248" t="s">
        <v>47</v>
      </c>
      <c r="O10" s="248" t="s">
        <v>46</v>
      </c>
      <c r="P10" s="248" t="s">
        <v>47</v>
      </c>
      <c r="Q10" s="335" t="s">
        <v>46</v>
      </c>
      <c r="R10" s="248" t="s">
        <v>47</v>
      </c>
      <c r="S10" s="335" t="s">
        <v>46</v>
      </c>
      <c r="T10" s="387" t="s">
        <v>47</v>
      </c>
    </row>
    <row r="11" spans="1:31">
      <c r="A11" s="264"/>
      <c r="B11" s="249" t="s">
        <v>48</v>
      </c>
      <c r="C11" s="338">
        <v>0</v>
      </c>
      <c r="D11" s="251">
        <f>'3. Future Emissions Summary'!D11</f>
        <v>14.539125</v>
      </c>
      <c r="E11" s="250">
        <v>0</v>
      </c>
      <c r="F11" s="251">
        <f>'3. Future Emissions Summary'!F11</f>
        <v>9.8866050000000012</v>
      </c>
      <c r="G11" s="250">
        <v>0</v>
      </c>
      <c r="H11" s="251">
        <f>'3. Future Emissions Summary'!H11</f>
        <v>9.8866050000000012</v>
      </c>
      <c r="I11" s="251">
        <v>0</v>
      </c>
      <c r="J11" s="251">
        <f>'3. Future Emissions Summary'!J11</f>
        <v>23.262600000000003</v>
      </c>
      <c r="K11" s="251">
        <v>0</v>
      </c>
      <c r="L11" s="251">
        <f>'3. Future Emissions Summary'!L11</f>
        <v>2.9078250000000003</v>
      </c>
      <c r="M11" s="251">
        <v>0</v>
      </c>
      <c r="N11" s="251">
        <f>'3. Future Emissions Summary'!N11</f>
        <v>18.900862499999999</v>
      </c>
      <c r="O11" s="251">
        <v>0</v>
      </c>
      <c r="P11" s="251">
        <f>'3. Future Emissions Summary'!P11</f>
        <v>0.29078250000000005</v>
      </c>
      <c r="Q11" s="250">
        <v>0</v>
      </c>
      <c r="R11" s="251">
        <f>'3. Future Emissions Summary'!V11</f>
        <v>1.5752198348287501E-4</v>
      </c>
      <c r="S11" s="250">
        <v>0</v>
      </c>
      <c r="T11" s="388">
        <f>'3. Future Emissions Summary'!T11</f>
        <v>40.70955</v>
      </c>
    </row>
    <row r="12" spans="1:31">
      <c r="A12" s="264"/>
      <c r="B12" s="253" t="s">
        <v>49</v>
      </c>
      <c r="C12" s="339">
        <v>0</v>
      </c>
      <c r="D12" s="252">
        <f>'3. Future Emissions Summary'!D13</f>
        <v>0.31687784077032299</v>
      </c>
      <c r="E12" s="254">
        <v>0</v>
      </c>
      <c r="F12" s="252">
        <f>'3. Future Emissions Summary'!F13</f>
        <v>0.14987465441839601</v>
      </c>
      <c r="G12" s="254">
        <v>0</v>
      </c>
      <c r="H12" s="252">
        <f>'3. Future Emissions Summary'!H13</f>
        <v>2.2695304811928545E-2</v>
      </c>
      <c r="I12" s="252">
        <v>0</v>
      </c>
      <c r="J12" s="252" t="str">
        <f>'3. Future Emissions Summary'!J13</f>
        <v>--</v>
      </c>
      <c r="K12" s="252">
        <v>0</v>
      </c>
      <c r="L12" s="252" t="str">
        <f>'3. Future Emissions Summary'!L13</f>
        <v>--</v>
      </c>
      <c r="M12" s="252">
        <v>0</v>
      </c>
      <c r="N12" s="252" t="str">
        <f>'3. Future Emissions Summary'!N13</f>
        <v>--</v>
      </c>
      <c r="O12" s="252">
        <v>0</v>
      </c>
      <c r="P12" s="252" t="str">
        <f>'3. Future Emissions Summary'!P13</f>
        <v>--</v>
      </c>
      <c r="Q12" s="254">
        <v>0</v>
      </c>
      <c r="R12" s="252">
        <f>'3. Future Emissions Summary'!V13</f>
        <v>3.4331657510277898E-6</v>
      </c>
      <c r="S12" s="254">
        <v>0</v>
      </c>
      <c r="T12" s="255" t="str">
        <f>'3. Future Emissions Summary'!T13</f>
        <v>--</v>
      </c>
    </row>
    <row r="13" spans="1:31">
      <c r="A13" s="264"/>
      <c r="B13" s="253" t="s">
        <v>50</v>
      </c>
      <c r="C13" s="339">
        <v>0</v>
      </c>
      <c r="D13" s="252">
        <f>'3. Future Emissions Summary'!D14</f>
        <v>0.13171819744837154</v>
      </c>
      <c r="E13" s="254">
        <v>0</v>
      </c>
      <c r="F13" s="252">
        <f>'3. Future Emissions Summary'!F14</f>
        <v>6.2299147441797355E-2</v>
      </c>
      <c r="G13" s="254">
        <v>0</v>
      </c>
      <c r="H13" s="252">
        <f>'3. Future Emissions Summary'!H14</f>
        <v>1.957973205313631E-2</v>
      </c>
      <c r="I13" s="252">
        <v>0</v>
      </c>
      <c r="J13" s="252" t="str">
        <f>'3. Future Emissions Summary'!J14</f>
        <v>--</v>
      </c>
      <c r="K13" s="252">
        <v>0</v>
      </c>
      <c r="L13" s="252" t="str">
        <f>'3. Future Emissions Summary'!L14</f>
        <v>--</v>
      </c>
      <c r="M13" s="252">
        <v>0</v>
      </c>
      <c r="N13" s="252" t="str">
        <f>'3. Future Emissions Summary'!N14</f>
        <v>--</v>
      </c>
      <c r="O13" s="252">
        <v>0</v>
      </c>
      <c r="P13" s="252" t="str">
        <f>'3. Future Emissions Summary'!P14</f>
        <v>--</v>
      </c>
      <c r="Q13" s="254">
        <v>0</v>
      </c>
      <c r="R13" s="252" t="str">
        <f>'3. Future Emissions Summary'!V14</f>
        <v>--</v>
      </c>
      <c r="S13" s="254">
        <v>0</v>
      </c>
      <c r="T13" s="255" t="str">
        <f>'3. Future Emissions Summary'!T14</f>
        <v>--</v>
      </c>
    </row>
    <row r="14" spans="1:31">
      <c r="A14" s="264"/>
      <c r="B14" s="253" t="s">
        <v>51</v>
      </c>
      <c r="C14" s="339" cm="1">
        <f t="array" ref="C14">_xlfn.XLOOKUP(C$23&amp;C$22,'8a. Baseline Em_Report'!$B:$B&amp;'8a. Baseline Em_Report'!$C:$C,'8a. Baseline Em_Report'!$P:$P)</f>
        <v>0.22993718110086944</v>
      </c>
      <c r="D14" s="256">
        <f>'3. Future Emissions Summary'!$D$15</f>
        <v>0</v>
      </c>
      <c r="E14" s="254" cm="1">
        <f t="array" ref="E14">_xlfn.XLOOKUP(E$23&amp;E$22,'8a. Baseline Em_Report'!$B:$B&amp;'8a. Baseline Em_Report'!$C:$C,'8a. Baseline Em_Report'!$Q:$Q)</f>
        <v>0.10875407214230315</v>
      </c>
      <c r="F14" s="256">
        <f>'3. Future Emissions Summary'!$F$15</f>
        <v>0</v>
      </c>
      <c r="G14" s="254" cm="1">
        <f t="array" ref="G14">_xlfn.XLOOKUP(G$23&amp;G$22,'8a. Baseline Em_Report'!$B:$B&amp;'8a. Baseline Em_Report'!$C:$C,'8a. Baseline Em_Report'!$R:$R)</f>
        <v>1.6468473781548761E-2</v>
      </c>
      <c r="H14" s="252">
        <f>'3. Future Emissions Summary'!$H$15</f>
        <v>0</v>
      </c>
      <c r="I14" s="252" t="s">
        <v>52</v>
      </c>
      <c r="J14" s="252" t="str">
        <f>'3. Future Emissions Summary'!J15</f>
        <v>--</v>
      </c>
      <c r="K14" s="252" t="s">
        <v>52</v>
      </c>
      <c r="L14" s="252" t="str">
        <f>'3. Future Emissions Summary'!L15</f>
        <v>--</v>
      </c>
      <c r="M14" s="252" t="s">
        <v>52</v>
      </c>
      <c r="N14" s="252" t="str">
        <f>'3. Future Emissions Summary'!N15</f>
        <v>--</v>
      </c>
      <c r="O14" s="252" t="s">
        <v>52</v>
      </c>
      <c r="P14" s="252" t="str">
        <f>'3. Future Emissions Summary'!P15</f>
        <v>--</v>
      </c>
      <c r="Q14" s="254" t="s">
        <v>52</v>
      </c>
      <c r="R14" s="252">
        <f>'3. Future Emissions Summary'!$V$15</f>
        <v>0</v>
      </c>
      <c r="S14" s="254" t="s">
        <v>52</v>
      </c>
      <c r="T14" s="255" t="str">
        <f>'3. Future Emissions Summary'!T15</f>
        <v>--</v>
      </c>
    </row>
    <row r="15" spans="1:31">
      <c r="A15" s="264"/>
      <c r="B15" s="253" t="s">
        <v>53</v>
      </c>
      <c r="C15" s="339" cm="1">
        <f t="array" ref="C15">_xlfn.XLOOKUP(C$23&amp;C$22,'8b. Baseline Emissions_Other'!$B:$B&amp;'8b. Baseline Emissions_Other'!$C:$C,'8b. Baseline Emissions_Other'!$U:$U)</f>
        <v>38.978898012328585</v>
      </c>
      <c r="D15" s="252">
        <f>'3. Future Emissions Summary'!$D$12</f>
        <v>0</v>
      </c>
      <c r="E15" s="254" cm="1">
        <f t="array" ref="E15">_xlfn.XLOOKUP(E$23&amp;E$22,'8b. Baseline Emissions_Other'!$B:$B&amp;'8b. Baseline Emissions_Other'!$C:$C,'8b. Baseline Emissions_Other'!$V:$V)</f>
        <v>26.797992383475901</v>
      </c>
      <c r="F15" s="252">
        <f>'3. Future Emissions Summary'!$F$12</f>
        <v>0</v>
      </c>
      <c r="G15" s="254" cm="1">
        <f t="array" ref="G15">_xlfn.XLOOKUP(G$23&amp;G$22,'8b. Baseline Emissions_Other'!$B:$B&amp;'8b. Baseline Emissions_Other'!$C:$C,'8b. Baseline Emissions_Other'!$W:$W)</f>
        <v>26.797992383475901</v>
      </c>
      <c r="H15" s="252">
        <f>'3. Future Emissions Summary'!$H$12</f>
        <v>0</v>
      </c>
      <c r="I15" s="256" cm="1">
        <f t="array" ref="I15">_xlfn.XLOOKUP(I$23&amp;I$22,'8b. Baseline Emissions_Other'!$B:$B&amp;'8b. Baseline Emissions_Other'!$C:$C,'8b. Baseline Emissions_Other'!$P:$P)</f>
        <v>29.234173509246432</v>
      </c>
      <c r="J15" s="252">
        <f>'3. Future Emissions Summary'!$J$12</f>
        <v>0</v>
      </c>
      <c r="K15" s="256" cm="1">
        <f t="array" ref="K15">_xlfn.XLOOKUP(K$23&amp;K$22,'8b. Baseline Emissions_Other'!$B:$B&amp;'8b. Baseline Emissions_Other'!$C:$C,'8b. Baseline Emissions_Other'!$Q:$Q)</f>
        <v>6.0417291919109299</v>
      </c>
      <c r="L15" s="252">
        <f>'3. Future Emissions Summary'!$J$12</f>
        <v>0</v>
      </c>
      <c r="M15" s="256" cm="1">
        <f t="array" ref="M15">_xlfn.XLOOKUP(M$23&amp;M$22,'8b. Baseline Emissions_Other'!$B:$B&amp;'8b. Baseline Emissions_Other'!$C:$C,'8b. Baseline Emissions_Other'!$R:$R)</f>
        <v>20.951157681626615</v>
      </c>
      <c r="N15" s="252">
        <f>'3. Future Emissions Summary'!$J$12</f>
        <v>0</v>
      </c>
      <c r="O15" s="256" cm="1">
        <f t="array" ref="O15">_xlfn.XLOOKUP(O$23&amp;O$22,'8b. Baseline Emissions_Other'!$B:$B&amp;'8b. Baseline Emissions_Other'!$C:$C,'8b. Baseline Emissions_Other'!$S:$S)</f>
        <v>0.57006638343030569</v>
      </c>
      <c r="P15" s="252">
        <f>'3. Future Emissions Summary'!$J$12</f>
        <v>0</v>
      </c>
      <c r="Q15" s="256" cm="1">
        <f t="array" ref="Q15">_xlfn.XLOOKUP(Q$23&amp;Q$22,'8b. Baseline Emissions_Other'!$B:$B&amp;'8b. Baseline Emissions_Other'!$C:$C,'8b. Baseline Emissions_Other'!$T:$T)</f>
        <v>4.2231106265877019E-2</v>
      </c>
      <c r="R15" s="256">
        <f>'3. Future Emissions Summary'!$V$12</f>
        <v>0</v>
      </c>
      <c r="S15" s="254" cm="1">
        <f t="array" ref="S15">_xlfn.XLOOKUP(S$23&amp;S$22,'8a. Baseline Em_Report'!$B:$B&amp;'8a. Baseline Em_Report'!$C:$C,'8a. Baseline Em_Report'!$O:$O)</f>
        <v>51.159803641181242</v>
      </c>
      <c r="T15" s="255">
        <f>'3. Future Emissions Summary'!$T$12</f>
        <v>0</v>
      </c>
    </row>
    <row r="16" spans="1:31">
      <c r="A16" s="264"/>
      <c r="B16" s="253" t="s">
        <v>54</v>
      </c>
      <c r="C16" s="339" cm="1">
        <f t="array" aca="1" ref="C16" ca="1">_xlfn.XLOOKUP($C23&amp;$C22,'9. Baseline Roadway Emissions'!$B$11:$B$34&amp;'9. Baseline Roadway Emissions'!$C$11:$C$34,'9. Baseline Roadway Emissions'!$O$11:$O$34)</f>
        <v>14.716566968806246</v>
      </c>
      <c r="D16" s="252">
        <f>'3. Future Emissions Summary'!D16</f>
        <v>29.276149252198984</v>
      </c>
      <c r="E16" s="254" cm="1">
        <f t="array" aca="1" ref="E16" ca="1">_xlfn.XLOOKUP($C23&amp;$C22,'9. Baseline Roadway Emissions'!$B$11:$B$34&amp;'9. Baseline Roadway Emissions'!$C$11:$C$34,'9. Baseline Roadway Emissions'!$Q$11:$Q$34)</f>
        <v>3.8257854821936728</v>
      </c>
      <c r="F16" s="252">
        <f>'3. Future Emissions Summary'!F16</f>
        <v>7.6107605137126217</v>
      </c>
      <c r="G16" s="254" cm="1">
        <f t="array" aca="1" ref="G16" ca="1">_xlfn.XLOOKUP($C23&amp;$C22,'9. Baseline Roadway Emissions'!$B$11:$B$34&amp;'9. Baseline Roadway Emissions'!$C$11:$C$34,'9. Baseline Roadway Emissions'!$S$11:$S$34)</f>
        <v>0.38257854821936732</v>
      </c>
      <c r="H16" s="252">
        <f>'3. Future Emissions Summary'!H16</f>
        <v>0.76107605137126211</v>
      </c>
      <c r="I16" s="252">
        <v>0</v>
      </c>
      <c r="J16" s="252" t="str">
        <f>'3. Future Emissions Summary'!J16</f>
        <v>--</v>
      </c>
      <c r="K16" s="252">
        <v>0</v>
      </c>
      <c r="L16" s="252" t="str">
        <f>'3. Future Emissions Summary'!L16</f>
        <v>--</v>
      </c>
      <c r="M16" s="252">
        <v>0</v>
      </c>
      <c r="N16" s="252" t="str">
        <f>'3. Future Emissions Summary'!N16</f>
        <v>--</v>
      </c>
      <c r="O16" s="252">
        <v>0</v>
      </c>
      <c r="P16" s="252" t="str">
        <f>'3. Future Emissions Summary'!P16</f>
        <v>--</v>
      </c>
      <c r="Q16" s="254" t="s">
        <v>52</v>
      </c>
      <c r="R16" s="252" t="str">
        <f>'3. Future Emissions Summary'!V16</f>
        <v>--</v>
      </c>
      <c r="S16" s="254" t="s">
        <v>52</v>
      </c>
      <c r="T16" s="255" t="str">
        <f>'3. Future Emissions Summary'!T16</f>
        <v>--</v>
      </c>
    </row>
    <row r="17" spans="1:20" ht="14.25" thickBot="1">
      <c r="A17" s="264"/>
      <c r="B17" s="257" t="s">
        <v>55</v>
      </c>
      <c r="C17" s="339" cm="1">
        <f t="array" aca="1" ref="C17" ca="1">_xlfn.XLOOKUP($C23&amp;$C22,'9. Baseline Roadway Emissions'!$B$11:$B$34&amp;'9. Baseline Roadway Emissions'!$C$11:$C$34,'9. Baseline Roadway Emissions'!$N$11:$N$34)</f>
        <v>0.54811604672928516</v>
      </c>
      <c r="D17" s="252">
        <f>'3. Future Emissions Summary'!D17</f>
        <v>0.65834579647513825</v>
      </c>
      <c r="E17" s="254" cm="1">
        <f t="array" aca="1" ref="E17" ca="1">_xlfn.XLOOKUP($C23&amp;$C22,'9. Baseline Roadway Emissions'!$B$11:$B$34&amp;'9. Baseline Roadway Emissions'!$C$11:$C$34,'9. Baseline Roadway Emissions'!$P$11:$P$34)</f>
        <v>0.10962320934585705</v>
      </c>
      <c r="F17" s="252">
        <f>'3. Future Emissions Summary'!F17</f>
        <v>0.13166915929502765</v>
      </c>
      <c r="G17" s="254" cm="1">
        <f t="array" aca="1" ref="G17" ca="1">_xlfn.XLOOKUP($C23&amp;$C22,'9. Baseline Roadway Emissions'!$B$11:$B$34&amp;'9. Baseline Roadway Emissions'!$C$11:$C$34,'9. Baseline Roadway Emissions'!$R$11:$R$34)</f>
        <v>2.6907515021255816E-2</v>
      </c>
      <c r="H17" s="252">
        <f>'3. Future Emissions Summary'!H17</f>
        <v>3.2318793645143146E-2</v>
      </c>
      <c r="I17" s="252">
        <v>0</v>
      </c>
      <c r="J17" s="252" t="str">
        <f>'3. Future Emissions Summary'!J17</f>
        <v>--</v>
      </c>
      <c r="K17" s="252">
        <v>0</v>
      </c>
      <c r="L17" s="252" t="str">
        <f>'3. Future Emissions Summary'!L17</f>
        <v>--</v>
      </c>
      <c r="M17" s="252">
        <v>0</v>
      </c>
      <c r="N17" s="252" t="str">
        <f>'3. Future Emissions Summary'!N17</f>
        <v>--</v>
      </c>
      <c r="O17" s="252">
        <v>0</v>
      </c>
      <c r="P17" s="252" t="str">
        <f>'3. Future Emissions Summary'!P17</f>
        <v>--</v>
      </c>
      <c r="Q17" s="254" t="s">
        <v>52</v>
      </c>
      <c r="R17" s="252" t="str">
        <f>'3. Future Emissions Summary'!V17</f>
        <v>--</v>
      </c>
      <c r="S17" s="254" t="s">
        <v>52</v>
      </c>
      <c r="T17" s="255" t="str">
        <f>'3. Future Emissions Summary'!T17</f>
        <v>--</v>
      </c>
    </row>
    <row r="18" spans="1:20" ht="15">
      <c r="C18" s="449" t="s">
        <v>56</v>
      </c>
      <c r="D18" s="445"/>
      <c r="E18" s="446" t="s">
        <v>57</v>
      </c>
      <c r="F18" s="445"/>
      <c r="G18" s="446" t="s">
        <v>58</v>
      </c>
      <c r="H18" s="445"/>
      <c r="I18" s="445" t="s">
        <v>42</v>
      </c>
      <c r="J18" s="445"/>
      <c r="K18" s="445" t="s">
        <v>42</v>
      </c>
      <c r="L18" s="445"/>
      <c r="M18" s="445" t="s">
        <v>42</v>
      </c>
      <c r="N18" s="445"/>
      <c r="O18" s="445" t="s">
        <v>42</v>
      </c>
      <c r="P18" s="445"/>
      <c r="Q18" s="446" t="s">
        <v>24</v>
      </c>
      <c r="R18" s="445"/>
      <c r="S18" s="446" t="s">
        <v>44</v>
      </c>
      <c r="T18" s="448"/>
    </row>
    <row r="19" spans="1:20" ht="14.25" thickBot="1">
      <c r="C19" s="258" t="s">
        <v>46</v>
      </c>
      <c r="D19" s="422" t="s">
        <v>47</v>
      </c>
      <c r="E19" s="336" t="s">
        <v>46</v>
      </c>
      <c r="F19" s="422" t="s">
        <v>47</v>
      </c>
      <c r="G19" s="336" t="s">
        <v>46</v>
      </c>
      <c r="H19" s="422" t="s">
        <v>47</v>
      </c>
      <c r="I19" s="259" t="s">
        <v>46</v>
      </c>
      <c r="J19" s="422" t="s">
        <v>47</v>
      </c>
      <c r="K19" s="259" t="s">
        <v>46</v>
      </c>
      <c r="L19" s="422" t="s">
        <v>47</v>
      </c>
      <c r="M19" s="259" t="s">
        <v>46</v>
      </c>
      <c r="N19" s="422" t="s">
        <v>47</v>
      </c>
      <c r="O19" s="259" t="s">
        <v>46</v>
      </c>
      <c r="P19" s="422" t="s">
        <v>47</v>
      </c>
      <c r="Q19" s="336" t="s">
        <v>46</v>
      </c>
      <c r="R19" s="259" t="s">
        <v>47</v>
      </c>
      <c r="S19" s="336" t="s">
        <v>46</v>
      </c>
      <c r="T19" s="433" t="s">
        <v>47</v>
      </c>
    </row>
    <row r="20" spans="1:20" ht="15.75" customHeight="1" thickBot="1">
      <c r="B20" s="260" t="s">
        <v>59</v>
      </c>
      <c r="C20" s="261">
        <f ca="1">SUM(C11:C17)</f>
        <v>54.47351820896499</v>
      </c>
      <c r="D20" s="262">
        <f>SUM(D11:D17)</f>
        <v>44.922216086892817</v>
      </c>
      <c r="E20" s="337">
        <f t="shared" ref="E20:T20" ca="1" si="0">SUM(E11:E17)</f>
        <v>30.842155147157733</v>
      </c>
      <c r="F20" s="262">
        <f t="shared" si="0"/>
        <v>17.841208474867845</v>
      </c>
      <c r="G20" s="337">
        <f t="shared" ca="1" si="0"/>
        <v>27.223946920498072</v>
      </c>
      <c r="H20" s="262">
        <f t="shared" si="0"/>
        <v>10.722274881881471</v>
      </c>
      <c r="I20" s="262">
        <f t="shared" si="0"/>
        <v>29.234173509246432</v>
      </c>
      <c r="J20" s="262">
        <f t="shared" si="0"/>
        <v>23.262600000000003</v>
      </c>
      <c r="K20" s="262">
        <f>SUM(K11:K17)</f>
        <v>6.0417291919109299</v>
      </c>
      <c r="L20" s="262">
        <f>SUM(L11:L17)</f>
        <v>2.9078250000000003</v>
      </c>
      <c r="M20" s="262">
        <f t="shared" ref="M20:N20" si="1">SUM(M11:M17)</f>
        <v>20.951157681626615</v>
      </c>
      <c r="N20" s="262">
        <f t="shared" si="1"/>
        <v>18.900862499999999</v>
      </c>
      <c r="O20" s="262">
        <f t="shared" ref="O20:P20" si="2">SUM(O11:O17)</f>
        <v>0.57006638343030569</v>
      </c>
      <c r="P20" s="262">
        <f t="shared" si="2"/>
        <v>0.29078250000000005</v>
      </c>
      <c r="Q20" s="337">
        <f t="shared" si="0"/>
        <v>4.2231106265877019E-2</v>
      </c>
      <c r="R20" s="262">
        <f t="shared" si="0"/>
        <v>1.609551492339028E-4</v>
      </c>
      <c r="S20" s="337">
        <f t="shared" si="0"/>
        <v>51.159803641181242</v>
      </c>
      <c r="T20" s="263">
        <f t="shared" si="0"/>
        <v>40.70955</v>
      </c>
    </row>
    <row r="21" spans="1:20" ht="14.25" thickBot="1">
      <c r="B21" s="260" t="s">
        <v>60</v>
      </c>
      <c r="C21" s="261"/>
      <c r="D21" s="262">
        <f>SUM(D11:D13)</f>
        <v>14.987721038218695</v>
      </c>
      <c r="E21" s="337"/>
      <c r="F21" s="262">
        <f>SUM(F11:F13)</f>
        <v>10.098778801860194</v>
      </c>
      <c r="G21" s="337"/>
      <c r="H21" s="262">
        <f>SUM(H11:H13)</f>
        <v>9.9288800368650669</v>
      </c>
      <c r="I21" s="262"/>
      <c r="J21" s="262">
        <f>SUM(J11:J13)</f>
        <v>23.262600000000003</v>
      </c>
      <c r="K21" s="262"/>
      <c r="L21" s="262">
        <f>SUM(L11:L13)</f>
        <v>2.9078250000000003</v>
      </c>
      <c r="M21" s="262"/>
      <c r="N21" s="262">
        <f>SUM(N11:N13)</f>
        <v>18.900862499999999</v>
      </c>
      <c r="O21" s="262"/>
      <c r="P21" s="262">
        <f>SUM(P11:P13)</f>
        <v>0.29078250000000005</v>
      </c>
      <c r="Q21" s="337"/>
      <c r="R21" s="262">
        <f>SUM(R11:R13)</f>
        <v>1.609551492339028E-4</v>
      </c>
      <c r="S21" s="337"/>
      <c r="T21" s="263">
        <f>SUM(T11:T13)</f>
        <v>40.70955</v>
      </c>
    </row>
    <row r="22" spans="1:20">
      <c r="B22" s="265" t="s">
        <v>61</v>
      </c>
      <c r="C22" s="245" t="str">
        <f>TEXT(C8,"mmmm")</f>
        <v>November</v>
      </c>
      <c r="E22" s="245" t="str">
        <f>TEXT(E8,"mmmm")</f>
        <v>November</v>
      </c>
      <c r="G22" s="245" t="str">
        <f>TEXT(G8,"mmmm")</f>
        <v>November</v>
      </c>
      <c r="I22" s="245" t="str">
        <f>TEXT(I8,"mmmm")</f>
        <v>November</v>
      </c>
      <c r="K22" s="245" t="str">
        <f>TEXT(K8,"mmmm")</f>
        <v>November</v>
      </c>
      <c r="M22" s="245" t="str">
        <f>TEXT(M8,"mmmm")</f>
        <v>November</v>
      </c>
      <c r="O22" s="245" t="str">
        <f>TEXT(O8,"mmmm")</f>
        <v>November</v>
      </c>
      <c r="Q22" s="245" t="str">
        <f>TEXT(Q8,"mmmm")</f>
        <v>November</v>
      </c>
      <c r="S22" s="245" t="str">
        <f>TEXT(S8,"mmmm")</f>
        <v>November</v>
      </c>
    </row>
    <row r="23" spans="1:20">
      <c r="B23" s="265" t="s">
        <v>61</v>
      </c>
      <c r="C23" s="245">
        <f>YEAR(C8)</f>
        <v>2021</v>
      </c>
      <c r="E23" s="245">
        <f>YEAR(E8)</f>
        <v>2021</v>
      </c>
      <c r="G23" s="245">
        <f>YEAR(G8)</f>
        <v>2021</v>
      </c>
      <c r="I23" s="245">
        <f>YEAR(I8)</f>
        <v>2021</v>
      </c>
      <c r="K23" s="245">
        <f>YEAR(K8)</f>
        <v>2021</v>
      </c>
      <c r="M23" s="245">
        <f>YEAR(M8)</f>
        <v>2021</v>
      </c>
      <c r="O23" s="245">
        <f>YEAR(O8)</f>
        <v>2021</v>
      </c>
      <c r="Q23" s="245">
        <f>YEAR(Q8)</f>
        <v>2021</v>
      </c>
      <c r="S23" s="245">
        <f>YEAR(S8)</f>
        <v>2021</v>
      </c>
    </row>
    <row r="54" ht="27" customHeight="1"/>
  </sheetData>
  <mergeCells count="27">
    <mergeCell ref="S8:T8"/>
    <mergeCell ref="S9:T9"/>
    <mergeCell ref="S18:T18"/>
    <mergeCell ref="Q9:R9"/>
    <mergeCell ref="C8:D8"/>
    <mergeCell ref="E8:F8"/>
    <mergeCell ref="G8:H8"/>
    <mergeCell ref="I8:J8"/>
    <mergeCell ref="C18:D18"/>
    <mergeCell ref="E18:F18"/>
    <mergeCell ref="G18:H18"/>
    <mergeCell ref="C9:D9"/>
    <mergeCell ref="E9:F9"/>
    <mergeCell ref="G9:H9"/>
    <mergeCell ref="I9:J9"/>
    <mergeCell ref="I18:J18"/>
    <mergeCell ref="K8:L8"/>
    <mergeCell ref="K9:L9"/>
    <mergeCell ref="K18:L18"/>
    <mergeCell ref="M8:N8"/>
    <mergeCell ref="Q8:R8"/>
    <mergeCell ref="O8:P8"/>
    <mergeCell ref="O9:P9"/>
    <mergeCell ref="O18:P18"/>
    <mergeCell ref="M9:N9"/>
    <mergeCell ref="M18:N18"/>
    <mergeCell ref="Q18:R18"/>
  </mergeCells>
  <pageMargins left="0.7" right="0.7" top="0.75" bottom="0.75" header="0.3" footer="0.3"/>
  <pageSetup scale="4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3:AB54"/>
  <sheetViews>
    <sheetView tabSelected="1" zoomScale="150" zoomScaleNormal="150" zoomScaleSheetLayoutView="140" workbookViewId="0">
      <selection activeCell="D26" sqref="D26"/>
    </sheetView>
  </sheetViews>
  <sheetFormatPr defaultColWidth="9.140625" defaultRowHeight="12.75"/>
  <cols>
    <col min="1" max="1" width="2.7109375" style="194" customWidth="1"/>
    <col min="2" max="2" width="35.7109375" style="194" bestFit="1" customWidth="1"/>
    <col min="3" max="26" width="8.7109375" style="194" customWidth="1"/>
    <col min="27" max="27" width="8.7109375" style="194" hidden="1" customWidth="1"/>
    <col min="28" max="28" width="8.7109375" style="207" hidden="1" customWidth="1"/>
    <col min="29" max="29" width="9.85546875" style="194" bestFit="1" customWidth="1"/>
    <col min="30" max="16384" width="9.140625" style="194"/>
  </cols>
  <sheetData>
    <row r="3" spans="1:28">
      <c r="B3" s="205" t="s">
        <v>0</v>
      </c>
      <c r="C3" s="7" t="str">
        <f>'1. Step 1 Evaluation'!C2</f>
        <v>U. S. Steel</v>
      </c>
      <c r="E3" s="205"/>
    </row>
    <row r="4" spans="1:28">
      <c r="B4" s="205" t="s">
        <v>2</v>
      </c>
      <c r="C4" s="7" t="str">
        <f>'1. Step 1 Evaluation'!C3</f>
        <v>Edgar Thomson Plant</v>
      </c>
      <c r="E4" s="205"/>
    </row>
    <row r="5" spans="1:28">
      <c r="B5" s="205" t="s">
        <v>4</v>
      </c>
      <c r="C5" s="7" t="str">
        <f>'1. Step 1 Evaluation'!C4</f>
        <v>Slag Recycler Project</v>
      </c>
      <c r="E5" s="205"/>
    </row>
    <row r="6" spans="1:28">
      <c r="B6" s="205"/>
      <c r="C6" s="7"/>
      <c r="E6" s="205"/>
    </row>
    <row r="7" spans="1:28" s="208" customFormat="1">
      <c r="B7" s="206" t="s">
        <v>62</v>
      </c>
      <c r="C7" s="206"/>
      <c r="D7" s="206"/>
      <c r="E7" s="206"/>
      <c r="AB7" s="209"/>
    </row>
    <row r="8" spans="1:28">
      <c r="B8" s="210"/>
      <c r="C8" s="210"/>
      <c r="D8" s="210"/>
      <c r="E8" s="210"/>
    </row>
    <row r="9" spans="1:28" ht="18" customHeight="1">
      <c r="B9" s="452" t="s">
        <v>63</v>
      </c>
      <c r="C9" s="450" t="s">
        <v>56</v>
      </c>
      <c r="D9" s="450"/>
      <c r="E9" s="450" t="s">
        <v>64</v>
      </c>
      <c r="F9" s="450"/>
      <c r="G9" s="450" t="s">
        <v>65</v>
      </c>
      <c r="H9" s="450"/>
      <c r="I9" s="450" t="s">
        <v>66</v>
      </c>
      <c r="J9" s="450"/>
      <c r="K9" s="450" t="s">
        <v>67</v>
      </c>
      <c r="L9" s="450"/>
      <c r="M9" s="450" t="s">
        <v>21</v>
      </c>
      <c r="N9" s="450"/>
      <c r="O9" s="450" t="s">
        <v>22</v>
      </c>
      <c r="P9" s="450"/>
      <c r="Q9" s="450" t="s">
        <v>68</v>
      </c>
      <c r="R9" s="451"/>
      <c r="S9" s="450" t="s">
        <v>69</v>
      </c>
      <c r="T9" s="451"/>
      <c r="U9" s="450" t="s">
        <v>24</v>
      </c>
      <c r="V9" s="450"/>
      <c r="AB9" s="194"/>
    </row>
    <row r="10" spans="1:28" s="212" customFormat="1" ht="31.5" customHeight="1">
      <c r="B10" s="452"/>
      <c r="C10" s="211" t="s">
        <v>70</v>
      </c>
      <c r="D10" s="211" t="s">
        <v>71</v>
      </c>
      <c r="E10" s="211" t="s">
        <v>70</v>
      </c>
      <c r="F10" s="211" t="s">
        <v>71</v>
      </c>
      <c r="G10" s="211" t="s">
        <v>70</v>
      </c>
      <c r="H10" s="211" t="s">
        <v>71</v>
      </c>
      <c r="I10" s="211" t="s">
        <v>70</v>
      </c>
      <c r="J10" s="211" t="s">
        <v>71</v>
      </c>
      <c r="K10" s="211" t="s">
        <v>70</v>
      </c>
      <c r="L10" s="211" t="s">
        <v>71</v>
      </c>
      <c r="M10" s="211" t="s">
        <v>70</v>
      </c>
      <c r="N10" s="211" t="s">
        <v>71</v>
      </c>
      <c r="O10" s="211" t="s">
        <v>70</v>
      </c>
      <c r="P10" s="211" t="s">
        <v>71</v>
      </c>
      <c r="Q10" s="211" t="s">
        <v>70</v>
      </c>
      <c r="R10" s="213" t="s">
        <v>71</v>
      </c>
      <c r="S10" s="211" t="s">
        <v>70</v>
      </c>
      <c r="T10" s="213" t="s">
        <v>71</v>
      </c>
      <c r="U10" s="211" t="s">
        <v>70</v>
      </c>
      <c r="V10" s="211" t="s">
        <v>71</v>
      </c>
    </row>
    <row r="11" spans="1:28" s="212" customFormat="1" ht="15" customHeight="1">
      <c r="A11" s="214"/>
      <c r="B11" s="215" t="s">
        <v>48</v>
      </c>
      <c r="C11" s="216">
        <f>'4. Slag Gran_New'!C25</f>
        <v>18</v>
      </c>
      <c r="D11" s="216">
        <f>'4. Slag Gran_New'!D25</f>
        <v>14.539125</v>
      </c>
      <c r="E11" s="216">
        <f>'4. Slag Gran_New'!C26</f>
        <v>12.24</v>
      </c>
      <c r="F11" s="216">
        <f>'4. Slag Gran_New'!D26</f>
        <v>9.8866050000000012</v>
      </c>
      <c r="G11" s="216">
        <f>'4. Slag Gran_New'!C27</f>
        <v>12.24</v>
      </c>
      <c r="H11" s="216">
        <f>'4. Slag Gran_New'!D27</f>
        <v>9.8866050000000012</v>
      </c>
      <c r="I11" s="216">
        <f>'4. Slag Gran_New'!C31</f>
        <v>28.8</v>
      </c>
      <c r="J11" s="216">
        <f>'4. Slag Gran_New'!D31</f>
        <v>23.262600000000003</v>
      </c>
      <c r="K11" s="216">
        <f>'4. Slag Gran_New'!C28</f>
        <v>3.6</v>
      </c>
      <c r="L11" s="216">
        <f>'4. Slag Gran_New'!D28</f>
        <v>2.9078250000000003</v>
      </c>
      <c r="M11" s="216">
        <f>'4. Slag Gran_New'!C29</f>
        <v>23.400000000000002</v>
      </c>
      <c r="N11" s="216">
        <f>'4. Slag Gran_New'!D29</f>
        <v>18.900862499999999</v>
      </c>
      <c r="O11" s="216">
        <f>'4. Slag Gran_New'!C30</f>
        <v>0.36</v>
      </c>
      <c r="P11" s="216">
        <f>'4. Slag Gran_New'!D30</f>
        <v>0.29078250000000005</v>
      </c>
      <c r="Q11" s="216">
        <f>'4. Slag Gran_New'!C35</f>
        <v>4.861177613374499E-2</v>
      </c>
      <c r="R11" s="216">
        <f>'4. Slag Gran_New'!D35</f>
        <v>3.9265149426696407E-2</v>
      </c>
      <c r="S11" s="216">
        <f>'4. Slag Gran_New'!C51</f>
        <v>50.400000000000006</v>
      </c>
      <c r="T11" s="216">
        <f>'4. Slag Gran_New'!D51</f>
        <v>40.70955</v>
      </c>
      <c r="U11" s="217">
        <f>'4. Slag Gran_New'!C44</f>
        <v>1.9501831800000001E-4</v>
      </c>
      <c r="V11" s="217">
        <f>'4. Slag Gran_New'!D44</f>
        <v>1.5752198348287501E-4</v>
      </c>
    </row>
    <row r="12" spans="1:28" s="212" customFormat="1" ht="15" customHeight="1">
      <c r="A12" s="214"/>
      <c r="B12" s="215" t="s">
        <v>72</v>
      </c>
      <c r="C12" s="216">
        <f>'4a. Slag Quenching_Exist'!$C$22</f>
        <v>0</v>
      </c>
      <c r="D12" s="216">
        <f>'4a. Slag Quenching_Exist'!$D$22</f>
        <v>0</v>
      </c>
      <c r="E12" s="216">
        <f>'4a. Slag Quenching_Exist'!$C$23</f>
        <v>0</v>
      </c>
      <c r="F12" s="216">
        <f>'4a. Slag Quenching_Exist'!$D$23</f>
        <v>0</v>
      </c>
      <c r="G12" s="216">
        <f>'4a. Slag Quenching_Exist'!$C$24</f>
        <v>0</v>
      </c>
      <c r="H12" s="216">
        <f>'4a. Slag Quenching_Exist'!$D$24</f>
        <v>0</v>
      </c>
      <c r="I12" s="216">
        <f>'4a. Slag Quenching_Exist'!$C$25</f>
        <v>0</v>
      </c>
      <c r="J12" s="216">
        <f>'4a. Slag Quenching_Exist'!$D$25</f>
        <v>0</v>
      </c>
      <c r="K12" s="216">
        <f>'4a. Slag Quenching_Exist'!C26</f>
        <v>0</v>
      </c>
      <c r="L12" s="216">
        <f>'4a. Slag Quenching_Exist'!D26</f>
        <v>0</v>
      </c>
      <c r="M12" s="216">
        <f>'4a. Slag Quenching_Exist'!C27</f>
        <v>0</v>
      </c>
      <c r="N12" s="216">
        <f>'4a. Slag Quenching_Exist'!D27</f>
        <v>0</v>
      </c>
      <c r="O12" s="216">
        <f>'4a. Slag Quenching_Exist'!C28</f>
        <v>0</v>
      </c>
      <c r="P12" s="216">
        <f>'4a. Slag Quenching_Exist'!D28</f>
        <v>0</v>
      </c>
      <c r="Q12" s="216">
        <f>'4a. Slag Quenching_Exist'!$C$32</f>
        <v>0</v>
      </c>
      <c r="R12" s="216">
        <f>'4a. Slag Quenching_Exist'!$D$32</f>
        <v>0</v>
      </c>
      <c r="S12" s="216">
        <f>'4a. Slag Quenching_Exist'!$C$48</f>
        <v>0</v>
      </c>
      <c r="T12" s="216">
        <f>'4a. Slag Quenching_Exist'!$D$48</f>
        <v>0</v>
      </c>
      <c r="U12" s="217">
        <f>'4a. Slag Quenching_Exist'!C41</f>
        <v>0</v>
      </c>
      <c r="V12" s="217">
        <f>'4a. Slag Quenching_Exist'!D41</f>
        <v>0</v>
      </c>
    </row>
    <row r="13" spans="1:28" s="212" customFormat="1" ht="15" customHeight="1">
      <c r="A13" s="214"/>
      <c r="B13" s="215" t="s">
        <v>49</v>
      </c>
      <c r="C13" s="218">
        <f>D13*2000/8760</f>
        <v>7.2346538988658227E-2</v>
      </c>
      <c r="D13" s="218">
        <f>'5. Slag Handling_New'!E22</f>
        <v>0.31687784077032299</v>
      </c>
      <c r="E13" s="218">
        <f>F13*2000/8760</f>
        <v>3.4217957629770777E-2</v>
      </c>
      <c r="F13" s="218">
        <f>'5. Slag Handling_New'!E23</f>
        <v>0.14987465441839601</v>
      </c>
      <c r="G13" s="218">
        <f>H13*2000/8760</f>
        <v>5.1815764410795759E-3</v>
      </c>
      <c r="H13" s="218">
        <f>'5. Slag Handling_New'!E24</f>
        <v>2.2695304811928545E-2</v>
      </c>
      <c r="I13" s="216" t="s">
        <v>52</v>
      </c>
      <c r="J13" s="216" t="s">
        <v>52</v>
      </c>
      <c r="K13" s="216" t="s">
        <v>52</v>
      </c>
      <c r="L13" s="216" t="s">
        <v>52</v>
      </c>
      <c r="M13" s="216" t="s">
        <v>52</v>
      </c>
      <c r="N13" s="216" t="s">
        <v>52</v>
      </c>
      <c r="O13" s="216" t="s">
        <v>52</v>
      </c>
      <c r="P13" s="216" t="s">
        <v>52</v>
      </c>
      <c r="Q13" s="218">
        <f>R13*2000/8760</f>
        <v>1.9538298652043933E-4</v>
      </c>
      <c r="R13" s="216">
        <f>'5. Slag Handling_New'!E27</f>
        <v>8.5577748095952433E-4</v>
      </c>
      <c r="S13" s="216" t="s">
        <v>52</v>
      </c>
      <c r="T13" s="216" t="s">
        <v>52</v>
      </c>
      <c r="U13" s="218">
        <f>V13*2000/8760</f>
        <v>7.8382779703830818E-7</v>
      </c>
      <c r="V13" s="217">
        <f>'5. Slag Handling_New'!E36</f>
        <v>3.4331657510277898E-6</v>
      </c>
    </row>
    <row r="14" spans="1:28" s="212" customFormat="1">
      <c r="B14" s="215" t="s">
        <v>50</v>
      </c>
      <c r="C14" s="218">
        <f>D14*2000/8760</f>
        <v>3.0072647819262908E-2</v>
      </c>
      <c r="D14" s="218">
        <f>'7. Storage Piles Erosion'!G12</f>
        <v>0.13171819744837154</v>
      </c>
      <c r="E14" s="218">
        <f>F14*2000/8760</f>
        <v>1.4223549644245971E-2</v>
      </c>
      <c r="F14" s="218">
        <f>'7. Storage Piles Erosion'!I12</f>
        <v>6.2299147441797355E-2</v>
      </c>
      <c r="G14" s="218">
        <f>H14*2000/8760</f>
        <v>4.4702584596201626E-3</v>
      </c>
      <c r="H14" s="218">
        <f>'7. Storage Piles Erosion'!K12</f>
        <v>1.957973205313631E-2</v>
      </c>
      <c r="I14" s="216" t="s">
        <v>52</v>
      </c>
      <c r="J14" s="216" t="s">
        <v>52</v>
      </c>
      <c r="K14" s="216" t="s">
        <v>52</v>
      </c>
      <c r="L14" s="216" t="s">
        <v>52</v>
      </c>
      <c r="M14" s="216" t="s">
        <v>52</v>
      </c>
      <c r="N14" s="216" t="s">
        <v>52</v>
      </c>
      <c r="O14" s="216" t="s">
        <v>52</v>
      </c>
      <c r="P14" s="216" t="s">
        <v>52</v>
      </c>
      <c r="Q14" s="216" t="s">
        <v>52</v>
      </c>
      <c r="R14" s="216" t="s">
        <v>52</v>
      </c>
      <c r="S14" s="216" t="s">
        <v>52</v>
      </c>
      <c r="T14" s="216" t="s">
        <v>52</v>
      </c>
      <c r="U14" s="217" t="s">
        <v>52</v>
      </c>
      <c r="V14" s="217" t="s">
        <v>52</v>
      </c>
    </row>
    <row r="15" spans="1:28" s="212" customFormat="1">
      <c r="B15" s="215" t="s">
        <v>53</v>
      </c>
      <c r="C15" s="218">
        <f>'5a. Slag Pit Handl_Exist'!$C$21</f>
        <v>0</v>
      </c>
      <c r="D15" s="218">
        <f>'5a. Slag Pit Handl_Exist'!$D$21</f>
        <v>0</v>
      </c>
      <c r="E15" s="218">
        <f>'5a. Slag Pit Handl_Exist'!$C$22</f>
        <v>0</v>
      </c>
      <c r="F15" s="218">
        <f>'5a. Slag Pit Handl_Exist'!$D$22</f>
        <v>0</v>
      </c>
      <c r="G15" s="218">
        <f>'5a. Slag Pit Handl_Exist'!$C$23</f>
        <v>0</v>
      </c>
      <c r="H15" s="218">
        <f>'5a. Slag Pit Handl_Exist'!$D$23</f>
        <v>0</v>
      </c>
      <c r="I15" s="216" t="s">
        <v>52</v>
      </c>
      <c r="J15" s="216" t="s">
        <v>52</v>
      </c>
      <c r="K15" s="216" t="s">
        <v>52</v>
      </c>
      <c r="L15" s="216" t="s">
        <v>52</v>
      </c>
      <c r="M15" s="216" t="s">
        <v>52</v>
      </c>
      <c r="N15" s="216" t="s">
        <v>52</v>
      </c>
      <c r="O15" s="216" t="s">
        <v>52</v>
      </c>
      <c r="P15" s="216" t="s">
        <v>52</v>
      </c>
      <c r="Q15" s="216">
        <f>'5a. Slag Pit Handl_Exist'!C26</f>
        <v>0</v>
      </c>
      <c r="R15" s="216">
        <f>'5a. Slag Pit Handl_Exist'!D26</f>
        <v>0</v>
      </c>
      <c r="S15" s="216" t="s">
        <v>52</v>
      </c>
      <c r="T15" s="216" t="s">
        <v>52</v>
      </c>
      <c r="U15" s="217">
        <f>'5a. Slag Pit Handl_Exist'!C35</f>
        <v>0</v>
      </c>
      <c r="V15" s="217">
        <f>'5a. Slag Pit Handl_Exist'!D35</f>
        <v>0</v>
      </c>
    </row>
    <row r="16" spans="1:28" s="212" customFormat="1" ht="15" customHeight="1">
      <c r="A16" s="214"/>
      <c r="B16" s="215" t="s">
        <v>54</v>
      </c>
      <c r="C16" s="218">
        <f>D16*2000/8760</f>
        <v>6.6840523406846994</v>
      </c>
      <c r="D16" s="218">
        <f>'6. Roads_Future'!L46</f>
        <v>29.276149252198984</v>
      </c>
      <c r="E16" s="218">
        <f>F16*2000/8760</f>
        <v>1.7376165556421512</v>
      </c>
      <c r="F16" s="218">
        <f>'6. Roads_Future'!L57</f>
        <v>7.6107605137126217</v>
      </c>
      <c r="G16" s="218">
        <f>H16*2000/8760</f>
        <v>0.17376165556421511</v>
      </c>
      <c r="H16" s="218">
        <f>'6. Roads_Future'!L68</f>
        <v>0.76107605137126211</v>
      </c>
      <c r="I16" s="216" t="s">
        <v>52</v>
      </c>
      <c r="J16" s="216" t="s">
        <v>52</v>
      </c>
      <c r="K16" s="216" t="s">
        <v>52</v>
      </c>
      <c r="L16" s="216" t="s">
        <v>52</v>
      </c>
      <c r="M16" s="216" t="s">
        <v>52</v>
      </c>
      <c r="N16" s="216" t="s">
        <v>52</v>
      </c>
      <c r="O16" s="216" t="s">
        <v>52</v>
      </c>
      <c r="P16" s="216" t="s">
        <v>52</v>
      </c>
      <c r="Q16" s="216" t="s">
        <v>52</v>
      </c>
      <c r="R16" s="216" t="s">
        <v>52</v>
      </c>
      <c r="S16" s="216" t="s">
        <v>52</v>
      </c>
      <c r="T16" s="216" t="s">
        <v>52</v>
      </c>
      <c r="U16" s="217" t="s">
        <v>52</v>
      </c>
      <c r="V16" s="217" t="s">
        <v>52</v>
      </c>
      <c r="W16" s="219"/>
    </row>
    <row r="17" spans="1:28" s="212" customFormat="1" ht="15" customHeight="1">
      <c r="A17" s="214"/>
      <c r="B17" s="215" t="s">
        <v>55</v>
      </c>
      <c r="C17" s="218">
        <f>D17*2000/8760</f>
        <v>0.15030725946920964</v>
      </c>
      <c r="D17" s="218">
        <f>'6. Roads_Future'!J15</f>
        <v>0.65834579647513825</v>
      </c>
      <c r="E17" s="218">
        <f>F17*2000/8760</f>
        <v>3.0061451893841927E-2</v>
      </c>
      <c r="F17" s="218">
        <f>'6. Roads_Future'!J24</f>
        <v>0.13166915929502765</v>
      </c>
      <c r="G17" s="218">
        <f>H17*2000/8760</f>
        <v>7.378720010306654E-3</v>
      </c>
      <c r="H17" s="218">
        <f>'6. Roads_Future'!J33</f>
        <v>3.2318793645143146E-2</v>
      </c>
      <c r="I17" s="216" t="s">
        <v>52</v>
      </c>
      <c r="J17" s="216" t="s">
        <v>52</v>
      </c>
      <c r="K17" s="216" t="s">
        <v>52</v>
      </c>
      <c r="L17" s="216" t="s">
        <v>52</v>
      </c>
      <c r="M17" s="216" t="s">
        <v>52</v>
      </c>
      <c r="N17" s="216" t="s">
        <v>52</v>
      </c>
      <c r="O17" s="216" t="s">
        <v>52</v>
      </c>
      <c r="P17" s="216" t="s">
        <v>52</v>
      </c>
      <c r="Q17" s="216" t="s">
        <v>52</v>
      </c>
      <c r="R17" s="216" t="s">
        <v>52</v>
      </c>
      <c r="S17" s="216" t="s">
        <v>52</v>
      </c>
      <c r="T17" s="216" t="s">
        <v>52</v>
      </c>
      <c r="U17" s="217" t="s">
        <v>52</v>
      </c>
      <c r="V17" s="217" t="s">
        <v>52</v>
      </c>
      <c r="W17" s="219"/>
    </row>
    <row r="18" spans="1:28" ht="5.0999999999999996" customHeight="1">
      <c r="B18" s="220"/>
      <c r="D18" s="220"/>
      <c r="F18" s="220"/>
      <c r="H18" s="220"/>
      <c r="J18" s="220"/>
      <c r="L18" s="220"/>
      <c r="N18" s="220"/>
      <c r="P18" s="220"/>
      <c r="R18" s="222"/>
      <c r="S18" s="221"/>
      <c r="T18" s="221"/>
      <c r="U18" s="223"/>
      <c r="V18" s="389"/>
      <c r="AB18" s="194"/>
    </row>
    <row r="19" spans="1:28" s="224" customFormat="1">
      <c r="B19" s="225" t="s">
        <v>73</v>
      </c>
      <c r="C19" s="226"/>
      <c r="D19" s="418">
        <f>SUM(D11:D17)</f>
        <v>44.922216086892817</v>
      </c>
      <c r="E19" s="226"/>
      <c r="F19" s="418">
        <f t="shared" ref="F19:V19" si="0">SUM(F11:F17)</f>
        <v>17.841208474867845</v>
      </c>
      <c r="G19" s="226"/>
      <c r="H19" s="418">
        <f t="shared" si="0"/>
        <v>10.722274881881471</v>
      </c>
      <c r="I19" s="226"/>
      <c r="J19" s="418">
        <f t="shared" si="0"/>
        <v>23.262600000000003</v>
      </c>
      <c r="K19" s="226"/>
      <c r="L19" s="418">
        <f t="shared" ref="L19" si="1">SUM(L11:L17)</f>
        <v>2.9078250000000003</v>
      </c>
      <c r="M19" s="226"/>
      <c r="N19" s="418">
        <f t="shared" ref="N19" si="2">SUM(N11:N17)</f>
        <v>18.900862499999999</v>
      </c>
      <c r="O19" s="226"/>
      <c r="P19" s="418">
        <f t="shared" ref="P19" si="3">SUM(P11:P17)</f>
        <v>0.29078250000000005</v>
      </c>
      <c r="Q19" s="226"/>
      <c r="R19" s="226">
        <f t="shared" si="0"/>
        <v>4.0120926907655931E-2</v>
      </c>
      <c r="S19" s="226"/>
      <c r="T19" s="418">
        <f t="shared" si="0"/>
        <v>40.70955</v>
      </c>
      <c r="U19" s="226"/>
      <c r="V19" s="226">
        <f t="shared" si="0"/>
        <v>1.609551492339028E-4</v>
      </c>
    </row>
    <row r="20" spans="1:28" ht="6" customHeight="1">
      <c r="B20" s="227"/>
      <c r="C20" s="228"/>
      <c r="D20" s="229"/>
      <c r="E20" s="228"/>
      <c r="F20" s="229"/>
      <c r="G20" s="228"/>
      <c r="H20" s="229"/>
      <c r="I20" s="228"/>
      <c r="J20" s="229"/>
      <c r="K20" s="228"/>
      <c r="L20" s="229"/>
      <c r="M20" s="228"/>
      <c r="N20" s="229"/>
      <c r="O20" s="228"/>
      <c r="P20" s="229"/>
      <c r="Q20" s="228"/>
      <c r="R20" s="229"/>
      <c r="S20" s="230"/>
      <c r="T20" s="230"/>
      <c r="U20" s="230"/>
      <c r="V20" s="229"/>
      <c r="AB20" s="194"/>
    </row>
    <row r="21" spans="1:28">
      <c r="B21" s="231"/>
      <c r="C21" s="232"/>
      <c r="D21" s="233"/>
      <c r="E21" s="232"/>
      <c r="F21" s="233"/>
      <c r="G21" s="232"/>
      <c r="H21" s="233"/>
      <c r="I21" s="232"/>
      <c r="J21" s="233"/>
      <c r="K21" s="233"/>
      <c r="L21" s="233"/>
      <c r="M21" s="233"/>
      <c r="N21" s="233"/>
      <c r="O21" s="233"/>
      <c r="P21" s="233"/>
      <c r="Q21" s="232"/>
      <c r="R21" s="232"/>
      <c r="S21" s="232"/>
      <c r="T21" s="232"/>
      <c r="U21" s="232"/>
      <c r="V21" s="233"/>
      <c r="AB21" s="194"/>
    </row>
    <row r="22" spans="1:28">
      <c r="B22" s="405" t="s">
        <v>331</v>
      </c>
      <c r="C22" s="406">
        <f>SUM(C11,C13,C14)</f>
        <v>18.102419186807921</v>
      </c>
      <c r="D22" s="406">
        <f t="shared" ref="D22:V22" si="4">SUM(D11,D13,D14)</f>
        <v>14.987721038218695</v>
      </c>
      <c r="E22" s="406">
        <f t="shared" si="4"/>
        <v>12.288441507274017</v>
      </c>
      <c r="F22" s="406">
        <f t="shared" si="4"/>
        <v>10.098778801860194</v>
      </c>
      <c r="G22" s="406">
        <f t="shared" si="4"/>
        <v>12.2496518349007</v>
      </c>
      <c r="H22" s="406">
        <f t="shared" si="4"/>
        <v>9.9288800368650669</v>
      </c>
      <c r="I22" s="406">
        <f t="shared" si="4"/>
        <v>28.8</v>
      </c>
      <c r="J22" s="406">
        <f t="shared" si="4"/>
        <v>23.262600000000003</v>
      </c>
      <c r="K22" s="406">
        <f t="shared" si="4"/>
        <v>3.6</v>
      </c>
      <c r="L22" s="406">
        <f t="shared" si="4"/>
        <v>2.9078250000000003</v>
      </c>
      <c r="M22" s="406">
        <f t="shared" si="4"/>
        <v>23.400000000000002</v>
      </c>
      <c r="N22" s="406">
        <f t="shared" si="4"/>
        <v>18.900862499999999</v>
      </c>
      <c r="O22" s="406">
        <f t="shared" si="4"/>
        <v>0.36</v>
      </c>
      <c r="P22" s="406">
        <f t="shared" si="4"/>
        <v>0.29078250000000005</v>
      </c>
      <c r="Q22" s="406">
        <f t="shared" si="4"/>
        <v>4.8807159120265432E-2</v>
      </c>
      <c r="R22" s="406">
        <f t="shared" si="4"/>
        <v>4.0120926907655931E-2</v>
      </c>
      <c r="S22" s="406">
        <f t="shared" si="4"/>
        <v>50.400000000000006</v>
      </c>
      <c r="T22" s="406">
        <f t="shared" si="4"/>
        <v>40.70955</v>
      </c>
      <c r="U22" s="406">
        <f t="shared" si="4"/>
        <v>1.9580214579703831E-4</v>
      </c>
      <c r="V22" s="406">
        <f t="shared" si="4"/>
        <v>1.609551492339028E-4</v>
      </c>
      <c r="Y22" s="207"/>
      <c r="AB22" s="194"/>
    </row>
    <row r="54" ht="27" customHeight="1"/>
  </sheetData>
  <mergeCells count="11">
    <mergeCell ref="U9:V9"/>
    <mergeCell ref="Q9:R9"/>
    <mergeCell ref="K9:L9"/>
    <mergeCell ref="M9:N9"/>
    <mergeCell ref="O9:P9"/>
    <mergeCell ref="G9:H9"/>
    <mergeCell ref="I9:J9"/>
    <mergeCell ref="S9:T9"/>
    <mergeCell ref="B9:B10"/>
    <mergeCell ref="C9:D9"/>
    <mergeCell ref="E9:F9"/>
  </mergeCells>
  <pageMargins left="0.7" right="0.7" top="0.75" bottom="0.75" header="0.3" footer="0.3"/>
  <pageSetup scale="5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8E8CC-ECCF-46EB-A57A-3B11142D77B2}">
  <sheetPr>
    <tabColor rgb="FF92D050"/>
    <pageSetUpPr fitToPage="1"/>
  </sheetPr>
  <dimension ref="B1:V55"/>
  <sheetViews>
    <sheetView topLeftCell="A13" zoomScale="150" zoomScaleNormal="150" zoomScaleSheetLayoutView="140" workbookViewId="0">
      <selection activeCell="G35" sqref="G35"/>
    </sheetView>
  </sheetViews>
  <sheetFormatPr defaultColWidth="9.140625" defaultRowHeight="12.75"/>
  <cols>
    <col min="1" max="1" width="2.7109375" style="82" customWidth="1"/>
    <col min="2" max="2" width="35.7109375" style="82" customWidth="1"/>
    <col min="3" max="6" width="16.7109375" style="82" customWidth="1"/>
    <col min="7" max="7" width="35.85546875" style="83" customWidth="1"/>
    <col min="8" max="8" width="14" style="84" bestFit="1" customWidth="1"/>
    <col min="9" max="9" width="8" style="85" bestFit="1" customWidth="1"/>
    <col min="10" max="10" width="11.140625" style="85" customWidth="1"/>
    <col min="11" max="12" width="9.140625" style="85"/>
    <col min="13" max="13" width="12.7109375" style="85" customWidth="1"/>
    <col min="14" max="17" width="9.140625" style="85"/>
    <col min="18" max="18" width="10.140625" style="85" bestFit="1" customWidth="1"/>
    <col min="19" max="19" width="11" style="85" customWidth="1"/>
    <col min="20" max="20" width="11.28515625" style="85" customWidth="1"/>
    <col min="21" max="22" width="9.140625" style="85"/>
    <col min="23" max="16384" width="9.140625" style="82"/>
  </cols>
  <sheetData>
    <row r="1" spans="2:22">
      <c r="B1" s="81"/>
    </row>
    <row r="3" spans="2:22" s="86" customFormat="1">
      <c r="B3" s="6" t="s">
        <v>0</v>
      </c>
      <c r="C3" s="7" t="str">
        <f>'1. Step 1 Evaluation'!C2</f>
        <v>U. S. Steel</v>
      </c>
      <c r="G3" s="88"/>
      <c r="H3" s="3"/>
      <c r="I3" s="89"/>
      <c r="J3" s="89"/>
      <c r="K3" s="89"/>
      <c r="L3" s="89"/>
      <c r="M3" s="89"/>
      <c r="N3" s="89"/>
      <c r="O3" s="89"/>
      <c r="P3" s="89"/>
      <c r="Q3" s="89"/>
      <c r="R3" s="89"/>
      <c r="S3" s="89"/>
      <c r="T3" s="89"/>
      <c r="U3" s="89"/>
      <c r="V3" s="89"/>
    </row>
    <row r="4" spans="2:22" s="86" customFormat="1">
      <c r="B4" s="6" t="s">
        <v>2</v>
      </c>
      <c r="C4" s="7" t="str">
        <f>'1. Step 1 Evaluation'!C3</f>
        <v>Edgar Thomson Plant</v>
      </c>
      <c r="G4" s="90"/>
      <c r="H4" s="91"/>
      <c r="I4" s="89"/>
      <c r="J4" s="89"/>
      <c r="K4" s="89"/>
      <c r="L4" s="89"/>
      <c r="M4" s="89"/>
      <c r="N4" s="89"/>
      <c r="O4" s="89"/>
      <c r="P4" s="89"/>
      <c r="Q4" s="89"/>
      <c r="R4" s="89"/>
      <c r="S4" s="89"/>
      <c r="T4" s="89"/>
      <c r="U4" s="89"/>
      <c r="V4" s="89"/>
    </row>
    <row r="5" spans="2:22" s="86" customFormat="1">
      <c r="B5" s="6" t="s">
        <v>4</v>
      </c>
      <c r="C5" s="7" t="str">
        <f>'1. Step 1 Evaluation'!C4</f>
        <v>Slag Recycler Project</v>
      </c>
      <c r="G5" s="87"/>
      <c r="H5" s="91"/>
      <c r="I5" s="89"/>
      <c r="J5" s="89"/>
      <c r="K5" s="89"/>
      <c r="L5" s="89"/>
      <c r="M5" s="89"/>
      <c r="N5" s="89"/>
      <c r="O5" s="89"/>
      <c r="P5" s="89"/>
      <c r="Q5" s="89"/>
      <c r="R5" s="89"/>
      <c r="S5" s="89"/>
      <c r="T5" s="89"/>
      <c r="U5" s="89"/>
      <c r="V5" s="89"/>
    </row>
    <row r="6" spans="2:22" s="86" customFormat="1">
      <c r="B6" s="6"/>
      <c r="C6" s="92"/>
      <c r="G6" s="87"/>
      <c r="H6" s="91"/>
      <c r="I6" s="89"/>
      <c r="J6" s="89"/>
      <c r="K6" s="89"/>
      <c r="L6" s="89"/>
      <c r="M6" s="89"/>
      <c r="N6" s="89"/>
      <c r="O6" s="89"/>
      <c r="P6" s="89"/>
      <c r="Q6" s="89"/>
      <c r="R6" s="89"/>
      <c r="S6" s="89"/>
      <c r="T6" s="89"/>
      <c r="U6" s="89"/>
      <c r="V6" s="89"/>
    </row>
    <row r="7" spans="2:22" s="96" customFormat="1">
      <c r="B7" s="38" t="s">
        <v>74</v>
      </c>
      <c r="C7" s="38"/>
      <c r="D7" s="86"/>
      <c r="E7" s="86"/>
      <c r="F7" s="86"/>
      <c r="G7" s="93"/>
      <c r="H7" s="94"/>
      <c r="I7" s="95"/>
      <c r="J7" s="95"/>
      <c r="K7" s="95"/>
      <c r="L7" s="95"/>
      <c r="M7" s="95"/>
      <c r="N7" s="95"/>
      <c r="O7" s="95"/>
      <c r="P7" s="95"/>
      <c r="Q7" s="95"/>
      <c r="R7" s="95"/>
      <c r="S7" s="95"/>
      <c r="T7" s="95"/>
      <c r="U7" s="95"/>
      <c r="V7" s="95"/>
    </row>
    <row r="8" spans="2:22" s="99" customFormat="1">
      <c r="B8" s="97"/>
      <c r="C8" s="97"/>
      <c r="D8" s="98"/>
      <c r="G8" s="100"/>
      <c r="H8" s="84"/>
      <c r="I8" s="85"/>
      <c r="J8" s="85"/>
      <c r="K8" s="85"/>
      <c r="L8" s="85"/>
      <c r="M8" s="85"/>
      <c r="N8" s="85"/>
      <c r="O8" s="85"/>
      <c r="P8" s="85"/>
      <c r="Q8" s="85"/>
      <c r="R8" s="85"/>
      <c r="S8" s="85"/>
      <c r="T8" s="85"/>
      <c r="U8" s="85"/>
      <c r="V8" s="85"/>
    </row>
    <row r="9" spans="2:22" s="103" customFormat="1">
      <c r="B9" s="101" t="s">
        <v>75</v>
      </c>
      <c r="C9" s="102" t="s">
        <v>76</v>
      </c>
      <c r="D9" s="102"/>
      <c r="E9" s="102"/>
      <c r="H9" s="104"/>
      <c r="I9" s="105"/>
      <c r="J9" s="106"/>
      <c r="K9" s="106"/>
      <c r="L9" s="106"/>
      <c r="M9" s="106"/>
      <c r="N9" s="106"/>
      <c r="O9" s="106"/>
      <c r="P9" s="106"/>
      <c r="Q9" s="106"/>
      <c r="R9" s="106"/>
      <c r="S9" s="106"/>
      <c r="T9" s="106"/>
      <c r="U9" s="106"/>
      <c r="V9" s="106"/>
    </row>
    <row r="10" spans="2:22" s="103" customFormat="1">
      <c r="B10" s="107"/>
      <c r="C10" s="107"/>
      <c r="D10" s="107"/>
      <c r="E10" s="102"/>
      <c r="H10" s="106"/>
      <c r="I10" s="105"/>
      <c r="J10" s="106"/>
      <c r="K10" s="106"/>
      <c r="L10" s="106"/>
      <c r="M10" s="106"/>
      <c r="N10" s="106"/>
      <c r="O10" s="106"/>
      <c r="P10" s="106"/>
      <c r="Q10" s="106"/>
      <c r="R10" s="106"/>
      <c r="S10" s="106"/>
      <c r="T10" s="106"/>
      <c r="U10" s="106"/>
      <c r="V10" s="106"/>
    </row>
    <row r="11" spans="2:22" s="103" customFormat="1">
      <c r="B11" s="108" t="s">
        <v>77</v>
      </c>
      <c r="C11" s="109">
        <f>C15/C14</f>
        <v>1593.3287671232877</v>
      </c>
      <c r="D11" s="110" t="s">
        <v>78</v>
      </c>
      <c r="E11" s="102"/>
      <c r="H11" s="106"/>
      <c r="I11" s="105"/>
      <c r="J11" s="106"/>
      <c r="K11" s="106"/>
      <c r="L11" s="106"/>
      <c r="M11" s="106"/>
      <c r="N11" s="106"/>
      <c r="O11" s="106"/>
      <c r="P11" s="106"/>
      <c r="Q11" s="106"/>
      <c r="R11" s="106"/>
      <c r="S11" s="106"/>
      <c r="T11" s="106"/>
      <c r="U11" s="106"/>
      <c r="V11" s="106"/>
    </row>
    <row r="12" spans="2:22" s="103" customFormat="1">
      <c r="B12" s="108" t="s">
        <v>77</v>
      </c>
      <c r="C12" s="109">
        <v>360</v>
      </c>
      <c r="D12" s="110" t="s">
        <v>79</v>
      </c>
      <c r="E12" s="102"/>
      <c r="H12" s="106"/>
      <c r="I12" s="105"/>
      <c r="J12" s="106"/>
      <c r="K12" s="106"/>
      <c r="L12" s="106"/>
      <c r="M12" s="106"/>
      <c r="N12" s="106"/>
      <c r="O12" s="106"/>
      <c r="P12" s="106"/>
      <c r="Q12" s="106"/>
      <c r="R12" s="106"/>
      <c r="S12" s="106"/>
      <c r="T12" s="106"/>
      <c r="U12" s="106"/>
      <c r="V12" s="106"/>
    </row>
    <row r="13" spans="2:22" s="99" customFormat="1">
      <c r="B13" s="108" t="s">
        <v>77</v>
      </c>
      <c r="C13" s="109">
        <f>C16/C14</f>
        <v>581565</v>
      </c>
      <c r="D13" s="110" t="s">
        <v>80</v>
      </c>
      <c r="E13" s="99" t="s">
        <v>81</v>
      </c>
      <c r="G13" s="111"/>
      <c r="H13" s="112"/>
      <c r="I13" s="85"/>
      <c r="J13" s="85"/>
      <c r="K13" s="85"/>
      <c r="L13" s="85"/>
      <c r="M13" s="85"/>
      <c r="N13" s="85"/>
      <c r="O13" s="85"/>
      <c r="P13" s="85"/>
      <c r="Q13" s="85"/>
      <c r="R13" s="85"/>
      <c r="S13" s="85"/>
      <c r="T13" s="85"/>
      <c r="U13" s="85"/>
      <c r="V13" s="85"/>
    </row>
    <row r="14" spans="2:22" s="99" customFormat="1">
      <c r="B14" s="108" t="s">
        <v>82</v>
      </c>
      <c r="C14" s="193">
        <v>1</v>
      </c>
      <c r="D14" s="110"/>
      <c r="G14" s="111"/>
      <c r="H14" s="112"/>
      <c r="I14" s="85"/>
      <c r="J14" s="85"/>
      <c r="K14" s="85"/>
      <c r="L14" s="85"/>
      <c r="M14" s="85"/>
      <c r="N14" s="85"/>
      <c r="O14" s="85"/>
      <c r="P14" s="85"/>
      <c r="Q14" s="85"/>
      <c r="R14" s="85"/>
      <c r="S14" s="85"/>
      <c r="T14" s="85"/>
      <c r="U14" s="85"/>
      <c r="V14" s="85"/>
    </row>
    <row r="15" spans="2:22" s="99" customFormat="1">
      <c r="B15" s="108" t="s">
        <v>83</v>
      </c>
      <c r="C15" s="109">
        <f>C16/365</f>
        <v>1593.3287671232877</v>
      </c>
      <c r="D15" s="110" t="s">
        <v>84</v>
      </c>
      <c r="G15" s="111"/>
      <c r="H15" s="112"/>
      <c r="I15" s="85"/>
      <c r="J15" s="85"/>
      <c r="K15" s="85"/>
      <c r="L15" s="85"/>
      <c r="M15" s="85"/>
      <c r="N15" s="85"/>
      <c r="O15" s="85"/>
      <c r="P15" s="85"/>
      <c r="Q15" s="85"/>
      <c r="R15" s="85"/>
      <c r="S15" s="85"/>
      <c r="T15" s="85"/>
      <c r="U15" s="85"/>
      <c r="V15" s="85"/>
    </row>
    <row r="16" spans="2:22" s="99" customFormat="1">
      <c r="B16" s="108" t="s">
        <v>85</v>
      </c>
      <c r="C16" s="109">
        <f>'1. Step 1 Evaluation'!D35</f>
        <v>581565</v>
      </c>
      <c r="D16" s="110" t="s">
        <v>80</v>
      </c>
      <c r="E16" s="194"/>
      <c r="G16" s="111"/>
      <c r="H16" s="113"/>
      <c r="I16" s="84"/>
      <c r="J16" s="85"/>
      <c r="K16" s="85"/>
      <c r="L16" s="85"/>
      <c r="M16" s="85"/>
      <c r="N16" s="85"/>
      <c r="O16" s="85"/>
      <c r="P16" s="85"/>
      <c r="Q16" s="85"/>
      <c r="R16" s="85"/>
      <c r="S16" s="85"/>
      <c r="T16" s="85"/>
      <c r="U16" s="85"/>
      <c r="V16" s="85"/>
    </row>
    <row r="17" spans="2:22" s="99" customFormat="1">
      <c r="B17" s="114"/>
      <c r="C17" s="115"/>
      <c r="D17" s="110"/>
      <c r="G17" s="111"/>
      <c r="H17" s="112"/>
      <c r="I17" s="85"/>
      <c r="J17" s="85"/>
      <c r="K17" s="85"/>
      <c r="L17" s="85"/>
      <c r="M17" s="85"/>
      <c r="N17" s="85"/>
      <c r="O17" s="85"/>
      <c r="P17" s="85"/>
      <c r="Q17" s="85"/>
      <c r="R17" s="85"/>
      <c r="S17" s="85"/>
      <c r="T17" s="85"/>
      <c r="U17" s="85"/>
      <c r="V17" s="85"/>
    </row>
    <row r="18" spans="2:22" s="99" customFormat="1">
      <c r="B18" s="116" t="s">
        <v>86</v>
      </c>
      <c r="D18" s="110"/>
      <c r="E18" s="110"/>
      <c r="F18" s="110"/>
      <c r="G18" s="100"/>
      <c r="H18" s="84"/>
      <c r="I18" s="85"/>
      <c r="J18" s="85"/>
      <c r="K18" s="117"/>
      <c r="L18" s="85"/>
      <c r="M18" s="85"/>
      <c r="N18" s="85"/>
      <c r="O18" s="85"/>
      <c r="P18" s="85"/>
      <c r="Q18" s="85"/>
      <c r="R18" s="195"/>
      <c r="S18" s="195"/>
      <c r="T18" s="85"/>
      <c r="U18" s="85"/>
      <c r="V18" s="85"/>
    </row>
    <row r="19" spans="2:22" s="99" customFormat="1" ht="3.75" customHeight="1">
      <c r="D19" s="421"/>
      <c r="E19" s="98"/>
      <c r="F19" s="426"/>
      <c r="G19" s="100"/>
      <c r="H19" s="430"/>
      <c r="I19" s="85"/>
      <c r="J19" s="136"/>
      <c r="K19" s="85"/>
      <c r="L19" s="136"/>
      <c r="M19" s="85"/>
      <c r="N19" s="136"/>
      <c r="O19" s="85"/>
      <c r="P19" s="136"/>
      <c r="Q19" s="85"/>
      <c r="R19" s="85"/>
      <c r="S19" s="85"/>
      <c r="T19" s="136"/>
      <c r="U19" s="85"/>
      <c r="V19" s="85"/>
    </row>
    <row r="20" spans="2:22" s="99" customFormat="1" ht="3.75" customHeight="1">
      <c r="B20" s="118"/>
      <c r="C20" s="119"/>
      <c r="D20" s="120"/>
      <c r="E20" s="120"/>
      <c r="F20" s="119"/>
      <c r="G20" s="4"/>
      <c r="H20" s="84"/>
      <c r="I20" s="85"/>
      <c r="J20" s="85"/>
      <c r="K20" s="85"/>
      <c r="L20" s="85"/>
      <c r="M20" s="85"/>
      <c r="N20" s="85"/>
      <c r="O20" s="85"/>
      <c r="P20" s="85"/>
      <c r="Q20" s="85"/>
      <c r="R20" s="85"/>
      <c r="S20" s="85"/>
      <c r="T20" s="85"/>
      <c r="U20" s="85"/>
      <c r="V20" s="85"/>
    </row>
    <row r="21" spans="2:22" s="126" customFormat="1" ht="36" customHeight="1">
      <c r="B21" s="121" t="s">
        <v>87</v>
      </c>
      <c r="C21" s="122" t="s">
        <v>88</v>
      </c>
      <c r="D21" s="122" t="s">
        <v>89</v>
      </c>
      <c r="E21" s="122" t="s">
        <v>90</v>
      </c>
      <c r="F21" s="122" t="s">
        <v>91</v>
      </c>
      <c r="G21" s="123" t="s">
        <v>92</v>
      </c>
      <c r="H21" s="124"/>
      <c r="I21" s="2"/>
      <c r="J21" s="125"/>
      <c r="K21" s="125"/>
      <c r="L21" s="125"/>
      <c r="M21" s="125"/>
      <c r="N21" s="125"/>
      <c r="O21" s="125"/>
      <c r="P21" s="125"/>
      <c r="Q21" s="125"/>
      <c r="R21" s="125"/>
      <c r="S21" s="125"/>
      <c r="T21" s="125"/>
      <c r="U21" s="125"/>
      <c r="V21" s="125"/>
    </row>
    <row r="22" spans="2:22" s="99" customFormat="1" ht="3.75" customHeight="1">
      <c r="B22" s="127"/>
      <c r="D22" s="98"/>
      <c r="E22" s="100"/>
      <c r="F22" s="100"/>
      <c r="G22" s="5"/>
      <c r="H22" s="84"/>
      <c r="I22" s="85"/>
      <c r="J22" s="85"/>
      <c r="K22" s="85"/>
      <c r="L22" s="85"/>
      <c r="M22" s="85"/>
      <c r="N22" s="85"/>
      <c r="O22" s="85"/>
      <c r="P22" s="85"/>
      <c r="Q22" s="85"/>
      <c r="R22" s="85"/>
      <c r="S22" s="85"/>
      <c r="T22" s="85"/>
      <c r="U22" s="85"/>
      <c r="V22" s="85"/>
    </row>
    <row r="23" spans="2:22" s="99" customFormat="1" ht="3.75" customHeight="1">
      <c r="B23" s="118"/>
      <c r="C23" s="119"/>
      <c r="D23" s="120"/>
      <c r="E23" s="128"/>
      <c r="F23" s="128"/>
      <c r="G23" s="4"/>
      <c r="H23" s="84"/>
      <c r="I23" s="85"/>
      <c r="J23" s="85"/>
      <c r="K23" s="85"/>
      <c r="L23" s="85"/>
      <c r="M23" s="85"/>
      <c r="N23" s="85"/>
      <c r="O23" s="85"/>
      <c r="P23" s="85"/>
      <c r="Q23" s="85"/>
      <c r="R23" s="85"/>
      <c r="S23" s="85"/>
      <c r="T23" s="85"/>
      <c r="U23" s="85"/>
      <c r="V23" s="85"/>
    </row>
    <row r="24" spans="2:22" s="99" customFormat="1">
      <c r="B24" s="129" t="s">
        <v>93</v>
      </c>
      <c r="C24" s="130"/>
      <c r="D24" s="131"/>
      <c r="E24" s="131"/>
      <c r="G24" s="5"/>
      <c r="H24" s="84"/>
      <c r="I24" s="85"/>
      <c r="J24" s="85"/>
      <c r="K24" s="85"/>
      <c r="L24" s="85"/>
      <c r="M24" s="85"/>
      <c r="N24" s="85"/>
      <c r="O24" s="85"/>
      <c r="P24" s="85"/>
      <c r="Q24" s="85"/>
      <c r="R24" s="85"/>
      <c r="S24" s="85"/>
      <c r="T24" s="85"/>
      <c r="U24" s="85"/>
      <c r="V24" s="85"/>
    </row>
    <row r="25" spans="2:22" s="99" customFormat="1">
      <c r="B25" s="132" t="s">
        <v>94</v>
      </c>
      <c r="C25" s="196">
        <f>$C$12*E25</f>
        <v>18</v>
      </c>
      <c r="D25" s="143">
        <f>E25*$C$13/2000</f>
        <v>14.539125</v>
      </c>
      <c r="E25" s="346">
        <v>0.05</v>
      </c>
      <c r="F25" s="100" t="s">
        <v>95</v>
      </c>
      <c r="G25" s="455" t="s">
        <v>96</v>
      </c>
      <c r="H25" s="84"/>
      <c r="I25" s="85"/>
      <c r="J25" s="136"/>
      <c r="K25" s="136"/>
      <c r="L25" s="85"/>
      <c r="M25" s="85"/>
      <c r="N25" s="85"/>
      <c r="O25" s="85"/>
      <c r="P25" s="85"/>
      <c r="Q25" s="85"/>
      <c r="R25" s="85"/>
      <c r="S25" s="85"/>
      <c r="T25" s="85"/>
      <c r="U25" s="85"/>
      <c r="V25" s="85"/>
    </row>
    <row r="26" spans="2:22" s="99" customFormat="1" ht="15.75">
      <c r="B26" s="132" t="s">
        <v>97</v>
      </c>
      <c r="C26" s="196">
        <f t="shared" ref="C26:C32" si="0">$C$12*E26</f>
        <v>12.24</v>
      </c>
      <c r="D26" s="143">
        <f t="shared" ref="D26:D31" si="1">E26*$C$13/2000</f>
        <v>9.8866050000000012</v>
      </c>
      <c r="E26" s="346">
        <v>3.4000000000000002E-2</v>
      </c>
      <c r="F26" s="100" t="s">
        <v>95</v>
      </c>
      <c r="G26" s="455"/>
      <c r="H26" s="84"/>
      <c r="I26" s="85"/>
      <c r="J26" s="136"/>
      <c r="K26" s="85"/>
      <c r="L26" s="85"/>
      <c r="M26" s="85"/>
      <c r="N26" s="85"/>
      <c r="O26" s="85"/>
      <c r="P26" s="85"/>
      <c r="Q26" s="85"/>
      <c r="R26" s="85"/>
      <c r="S26" s="85"/>
      <c r="T26" s="85"/>
      <c r="U26" s="85"/>
      <c r="V26" s="85"/>
    </row>
    <row r="27" spans="2:22" s="99" customFormat="1" ht="15.75">
      <c r="B27" s="132" t="s">
        <v>98</v>
      </c>
      <c r="C27" s="196">
        <f t="shared" si="0"/>
        <v>12.24</v>
      </c>
      <c r="D27" s="143">
        <f t="shared" si="1"/>
        <v>9.8866050000000012</v>
      </c>
      <c r="E27" s="346">
        <v>3.4000000000000002E-2</v>
      </c>
      <c r="F27" s="100" t="s">
        <v>95</v>
      </c>
      <c r="G27" s="455"/>
      <c r="H27" s="84"/>
      <c r="I27" s="85"/>
      <c r="J27" s="136"/>
      <c r="K27" s="85"/>
      <c r="L27" s="85"/>
      <c r="M27" s="85"/>
      <c r="N27" s="85"/>
      <c r="O27" s="85"/>
      <c r="P27" s="85"/>
      <c r="Q27" s="85"/>
      <c r="R27" s="85"/>
      <c r="S27" s="85"/>
      <c r="T27" s="85"/>
      <c r="U27" s="85"/>
      <c r="V27" s="85"/>
    </row>
    <row r="28" spans="2:22" s="99" customFormat="1" ht="15.75">
      <c r="B28" s="132" t="s">
        <v>99</v>
      </c>
      <c r="C28" s="134">
        <f t="shared" si="0"/>
        <v>3.6</v>
      </c>
      <c r="D28" s="134">
        <f t="shared" si="1"/>
        <v>2.9078250000000003</v>
      </c>
      <c r="E28" s="346">
        <v>0.01</v>
      </c>
      <c r="F28" s="100" t="s">
        <v>95</v>
      </c>
      <c r="G28" s="456" t="s">
        <v>100</v>
      </c>
      <c r="H28" s="84"/>
      <c r="I28" s="85"/>
      <c r="J28" s="136"/>
      <c r="K28" s="85"/>
      <c r="L28" s="85"/>
      <c r="M28" s="85"/>
      <c r="N28" s="85"/>
      <c r="O28" s="85"/>
      <c r="P28" s="85"/>
      <c r="Q28" s="85"/>
      <c r="R28" s="85"/>
      <c r="S28" s="85"/>
      <c r="T28" s="85"/>
      <c r="U28" s="85"/>
      <c r="V28" s="85"/>
    </row>
    <row r="29" spans="2:22" s="99" customFormat="1">
      <c r="B29" s="132" t="s">
        <v>101</v>
      </c>
      <c r="C29" s="134">
        <f t="shared" si="0"/>
        <v>23.400000000000002</v>
      </c>
      <c r="D29" s="134">
        <f t="shared" si="1"/>
        <v>18.900862499999999</v>
      </c>
      <c r="E29" s="346">
        <v>6.5000000000000002E-2</v>
      </c>
      <c r="F29" s="100" t="s">
        <v>95</v>
      </c>
      <c r="G29" s="456"/>
      <c r="H29" s="84"/>
      <c r="I29" s="85"/>
      <c r="J29" s="136"/>
      <c r="K29" s="85"/>
      <c r="L29" s="85"/>
      <c r="M29" s="85"/>
      <c r="N29" s="85"/>
      <c r="O29" s="85"/>
      <c r="P29" s="85"/>
      <c r="Q29" s="85"/>
      <c r="R29" s="85"/>
      <c r="S29" s="85"/>
      <c r="T29" s="85"/>
      <c r="U29" s="85"/>
      <c r="V29" s="85"/>
    </row>
    <row r="30" spans="2:22" s="99" customFormat="1">
      <c r="B30" s="132" t="s">
        <v>102</v>
      </c>
      <c r="C30" s="134">
        <f t="shared" si="0"/>
        <v>0.36</v>
      </c>
      <c r="D30" s="134">
        <f t="shared" si="1"/>
        <v>0.29078250000000005</v>
      </c>
      <c r="E30" s="346">
        <v>1E-3</v>
      </c>
      <c r="F30" s="100" t="s">
        <v>95</v>
      </c>
      <c r="G30" s="456"/>
      <c r="H30" s="84"/>
      <c r="I30" s="85"/>
      <c r="J30" s="136"/>
      <c r="K30" s="85"/>
      <c r="L30" s="85"/>
      <c r="M30" s="85"/>
      <c r="N30" s="85"/>
      <c r="O30" s="85"/>
      <c r="P30" s="85"/>
      <c r="Q30" s="85"/>
      <c r="R30" s="85"/>
      <c r="S30" s="85"/>
      <c r="T30" s="85"/>
      <c r="U30" s="85"/>
      <c r="V30" s="85"/>
    </row>
    <row r="31" spans="2:22" s="99" customFormat="1" ht="15.75">
      <c r="B31" s="132" t="s">
        <v>103</v>
      </c>
      <c r="C31" s="196">
        <f t="shared" si="0"/>
        <v>28.8</v>
      </c>
      <c r="D31" s="143">
        <f t="shared" si="1"/>
        <v>23.262600000000003</v>
      </c>
      <c r="E31" s="140">
        <v>0.08</v>
      </c>
      <c r="F31" s="100" t="s">
        <v>95</v>
      </c>
      <c r="G31" s="347" t="s">
        <v>104</v>
      </c>
      <c r="H31" s="84"/>
      <c r="I31" s="85"/>
      <c r="J31" s="136"/>
      <c r="K31" s="85"/>
      <c r="L31" s="85"/>
      <c r="M31" s="85"/>
      <c r="N31" s="85"/>
      <c r="O31" s="85"/>
      <c r="P31" s="85"/>
      <c r="Q31" s="85"/>
      <c r="R31" s="85"/>
      <c r="S31" s="85"/>
      <c r="T31" s="85"/>
      <c r="U31" s="85"/>
      <c r="V31" s="85"/>
    </row>
    <row r="32" spans="2:22" s="99" customFormat="1" ht="15.75">
      <c r="B32" s="132" t="s">
        <v>105</v>
      </c>
      <c r="C32" s="196">
        <f t="shared" si="0"/>
        <v>24.527451692312109</v>
      </c>
      <c r="D32" s="143">
        <f>E32*$C$13/2000</f>
        <v>19.811538115888183</v>
      </c>
      <c r="E32" s="140">
        <f>'4a. Slag Quenching_Exist'!E29</f>
        <v>6.8131810256422523E-2</v>
      </c>
      <c r="F32" s="100" t="s">
        <v>95</v>
      </c>
      <c r="G32" s="347" t="s">
        <v>106</v>
      </c>
      <c r="H32" s="84"/>
      <c r="I32" s="85"/>
      <c r="J32" s="136"/>
      <c r="K32" s="85"/>
      <c r="L32" s="85"/>
      <c r="M32" s="85"/>
      <c r="N32" s="85"/>
      <c r="O32" s="85"/>
      <c r="P32" s="85"/>
      <c r="Q32" s="85"/>
      <c r="R32" s="85"/>
      <c r="S32" s="85"/>
      <c r="T32" s="85"/>
      <c r="U32" s="85"/>
      <c r="V32" s="85"/>
    </row>
    <row r="33" spans="2:22" s="99" customFormat="1">
      <c r="B33" s="132"/>
      <c r="C33" s="137"/>
      <c r="D33" s="138"/>
      <c r="E33" s="139"/>
      <c r="F33" s="140"/>
      <c r="G33" s="141"/>
      <c r="H33" s="142"/>
      <c r="I33" s="85"/>
      <c r="J33" s="136"/>
      <c r="K33" s="85"/>
      <c r="L33" s="85"/>
      <c r="M33" s="85"/>
      <c r="N33" s="85"/>
      <c r="O33" s="85"/>
      <c r="P33" s="85"/>
      <c r="Q33" s="85"/>
      <c r="R33" s="85"/>
      <c r="S33" s="85"/>
      <c r="T33" s="85"/>
      <c r="U33" s="85"/>
      <c r="V33" s="85"/>
    </row>
    <row r="34" spans="2:22" s="99" customFormat="1">
      <c r="B34" s="129" t="s">
        <v>107</v>
      </c>
      <c r="C34" s="130"/>
      <c r="D34" s="138"/>
      <c r="E34" s="139"/>
      <c r="F34" s="140"/>
      <c r="G34" s="141"/>
      <c r="H34" s="142"/>
      <c r="I34" s="85"/>
      <c r="J34" s="85"/>
      <c r="K34" s="85"/>
      <c r="L34" s="85"/>
      <c r="M34" s="85"/>
      <c r="N34" s="85"/>
      <c r="O34" s="85"/>
      <c r="P34" s="85"/>
      <c r="Q34" s="85"/>
      <c r="R34" s="85"/>
      <c r="S34" s="85"/>
      <c r="T34" s="85"/>
      <c r="U34" s="85"/>
      <c r="V34" s="85"/>
    </row>
    <row r="35" spans="2:22" s="99" customFormat="1">
      <c r="B35" s="132" t="s">
        <v>68</v>
      </c>
      <c r="C35" s="143">
        <f>SUM(C37:C48)</f>
        <v>4.861177613374499E-2</v>
      </c>
      <c r="D35" s="143">
        <f>SUM(D37:D48)</f>
        <v>3.9265149426696407E-2</v>
      </c>
      <c r="E35" s="139"/>
      <c r="F35" s="140"/>
      <c r="G35" s="141"/>
      <c r="H35" s="142"/>
      <c r="I35" s="85"/>
      <c r="J35" s="85"/>
      <c r="K35" s="85"/>
      <c r="L35" s="85"/>
      <c r="M35" s="85"/>
      <c r="N35" s="85"/>
      <c r="O35" s="85"/>
      <c r="P35" s="85"/>
      <c r="Q35" s="85"/>
      <c r="R35" s="85"/>
      <c r="S35" s="85"/>
      <c r="T35" s="85"/>
      <c r="U35" s="85"/>
      <c r="V35" s="85"/>
    </row>
    <row r="36" spans="2:22" s="99" customFormat="1" ht="15" customHeight="1">
      <c r="B36" s="352"/>
      <c r="C36" s="353"/>
      <c r="D36" s="354"/>
      <c r="E36" s="355"/>
      <c r="F36" s="204"/>
      <c r="G36" s="356"/>
      <c r="H36" s="142"/>
      <c r="I36" s="85"/>
      <c r="J36" s="85"/>
      <c r="K36" s="85"/>
      <c r="L36" s="85"/>
      <c r="M36" s="85"/>
      <c r="N36" s="85"/>
      <c r="O36" s="85"/>
      <c r="P36" s="85"/>
      <c r="Q36" s="85"/>
      <c r="R36" s="85"/>
      <c r="S36" s="85"/>
      <c r="T36" s="85"/>
      <c r="U36" s="85"/>
      <c r="V36" s="85"/>
    </row>
    <row r="37" spans="2:22" s="99" customFormat="1">
      <c r="B37" s="144" t="s">
        <v>108</v>
      </c>
      <c r="C37" s="145"/>
      <c r="D37" s="146"/>
      <c r="E37" s="147"/>
      <c r="F37" s="128"/>
      <c r="G37" s="4"/>
      <c r="H37" s="84"/>
      <c r="I37" s="85"/>
      <c r="J37" s="85"/>
      <c r="K37" s="85"/>
      <c r="L37" s="85"/>
      <c r="M37" s="85"/>
      <c r="N37" s="85"/>
      <c r="O37" s="85"/>
      <c r="P37" s="85"/>
      <c r="Q37" s="85"/>
      <c r="R37" s="85"/>
      <c r="S37" s="85"/>
      <c r="T37" s="85"/>
      <c r="U37" s="85"/>
      <c r="V37" s="85"/>
    </row>
    <row r="38" spans="2:22" s="99" customFormat="1">
      <c r="B38" s="148" t="s">
        <v>109</v>
      </c>
      <c r="C38" s="133">
        <f>($E38/10000)/100*C$25</f>
        <v>3.1456874999999999E-5</v>
      </c>
      <c r="D38" s="133">
        <f>($E38/10000)/100*D$25</f>
        <v>2.5408635429687497E-5</v>
      </c>
      <c r="E38" s="149">
        <f>((2.81*(1-0.0025))+((2.77/2)*(1-0.0975))+((2.5/2)*(1-0.0481)))/3</f>
        <v>1.7476041666666664</v>
      </c>
      <c r="F38" s="100" t="s">
        <v>110</v>
      </c>
      <c r="G38" s="453" t="s">
        <v>111</v>
      </c>
      <c r="H38" s="84"/>
      <c r="I38" s="85"/>
      <c r="J38" s="85"/>
      <c r="K38" s="85"/>
      <c r="L38" s="85"/>
      <c r="M38" s="85"/>
      <c r="N38" s="85"/>
      <c r="O38" s="85"/>
      <c r="P38" s="85"/>
      <c r="Q38" s="85"/>
      <c r="R38" s="85"/>
      <c r="S38" s="85"/>
      <c r="T38" s="85"/>
      <c r="U38" s="85"/>
      <c r="V38" s="85"/>
    </row>
    <row r="39" spans="2:22" s="99" customFormat="1" ht="12.75" customHeight="1">
      <c r="B39" s="148" t="s">
        <v>112</v>
      </c>
      <c r="C39" s="133">
        <f t="shared" ref="C39:D48" si="2">($E39/10000)/100*C$25</f>
        <v>2.1551699999999999E-5</v>
      </c>
      <c r="D39" s="133">
        <f t="shared" si="2"/>
        <v>1.740793668125E-5</v>
      </c>
      <c r="E39" s="149">
        <f>(((2.31/2)*(1-0.0025))+((2.77/2)*(1-0.0975))+((2.5/2)*(1-0.0481)))/3</f>
        <v>1.1973166666666666</v>
      </c>
      <c r="F39" s="100" t="s">
        <v>110</v>
      </c>
      <c r="G39" s="453"/>
      <c r="H39" s="84"/>
      <c r="I39" s="85"/>
      <c r="J39" s="85"/>
      <c r="K39" s="85"/>
      <c r="L39" s="85"/>
      <c r="M39" s="85"/>
      <c r="N39" s="85"/>
      <c r="O39" s="85"/>
      <c r="P39" s="85"/>
      <c r="Q39" s="85"/>
      <c r="R39" s="85"/>
      <c r="S39" s="85"/>
      <c r="T39" s="85"/>
      <c r="U39" s="85"/>
      <c r="V39" s="85"/>
    </row>
    <row r="40" spans="2:22" s="99" customFormat="1">
      <c r="B40" s="148" t="s">
        <v>113</v>
      </c>
      <c r="C40" s="133">
        <f t="shared" si="2"/>
        <v>2.0047013999999997E-4</v>
      </c>
      <c r="D40" s="133">
        <f t="shared" si="2"/>
        <v>1.6192557912374998E-4</v>
      </c>
      <c r="E40" s="149">
        <f>11.7*(1-0.0481)</f>
        <v>11.137229999999999</v>
      </c>
      <c r="F40" s="100" t="s">
        <v>110</v>
      </c>
      <c r="G40" s="453"/>
      <c r="H40" s="84"/>
      <c r="I40" s="85"/>
      <c r="J40" s="85"/>
      <c r="K40" s="85"/>
      <c r="L40" s="85"/>
      <c r="M40" s="85"/>
      <c r="N40" s="85"/>
      <c r="O40" s="85"/>
      <c r="P40" s="85"/>
      <c r="Q40" s="85"/>
      <c r="R40" s="85"/>
      <c r="S40" s="85"/>
      <c r="T40" s="85"/>
      <c r="U40" s="85"/>
      <c r="V40" s="85"/>
    </row>
    <row r="41" spans="2:22" s="99" customFormat="1">
      <c r="B41" s="148" t="s">
        <v>114</v>
      </c>
      <c r="C41" s="133">
        <f t="shared" si="2"/>
        <v>2.1077887500000003E-5</v>
      </c>
      <c r="D41" s="133">
        <f t="shared" si="2"/>
        <v>1.7025224505468751E-5</v>
      </c>
      <c r="E41" s="149">
        <f>(((2.31/2)*(1-0.0025))+((2.5/2)*(1-0.0481)))/2</f>
        <v>1.1709937500000001</v>
      </c>
      <c r="F41" s="100" t="s">
        <v>110</v>
      </c>
      <c r="G41" s="453"/>
      <c r="H41" s="84"/>
      <c r="I41" s="85"/>
      <c r="J41" s="85"/>
      <c r="K41" s="85"/>
      <c r="L41" s="85"/>
      <c r="M41" s="85"/>
      <c r="N41" s="85"/>
      <c r="O41" s="85"/>
      <c r="P41" s="85"/>
      <c r="Q41" s="85"/>
      <c r="R41" s="85"/>
      <c r="S41" s="85"/>
      <c r="T41" s="85"/>
      <c r="U41" s="85"/>
      <c r="V41" s="85"/>
    </row>
    <row r="42" spans="2:22" s="99" customFormat="1">
      <c r="B42" s="148" t="s">
        <v>115</v>
      </c>
      <c r="C42" s="133">
        <f t="shared" si="2"/>
        <v>3.9279041999999996E-4</v>
      </c>
      <c r="D42" s="133">
        <f t="shared" si="2"/>
        <v>3.1726827862124999E-4</v>
      </c>
      <c r="E42" s="149">
        <f>((36.8*(1-0.0025))+(21*(1-0.0975))+(10.3*(1-0.0481)))/3</f>
        <v>21.82169</v>
      </c>
      <c r="F42" s="100" t="s">
        <v>110</v>
      </c>
      <c r="G42" s="453"/>
      <c r="H42" s="84"/>
      <c r="I42" s="85"/>
      <c r="J42" s="85"/>
      <c r="K42" s="85"/>
      <c r="L42" s="85"/>
      <c r="M42" s="85"/>
      <c r="N42" s="85"/>
      <c r="O42" s="85"/>
      <c r="P42" s="85"/>
      <c r="Q42" s="85"/>
      <c r="R42" s="85"/>
      <c r="S42" s="85"/>
      <c r="T42" s="85"/>
      <c r="U42" s="85"/>
      <c r="V42" s="85"/>
    </row>
    <row r="43" spans="2:22" s="99" customFormat="1">
      <c r="B43" s="148" t="s">
        <v>116</v>
      </c>
      <c r="C43" s="133">
        <f t="shared" si="2"/>
        <v>2.1077887500000003E-5</v>
      </c>
      <c r="D43" s="133">
        <f t="shared" si="2"/>
        <v>1.7025224505468751E-5</v>
      </c>
      <c r="E43" s="149">
        <f>(((2.31/2)*(1-0.0025))+((2.5/2)*(1-0.0481)))/2</f>
        <v>1.1709937500000001</v>
      </c>
      <c r="F43" s="100" t="s">
        <v>110</v>
      </c>
      <c r="G43" s="453"/>
      <c r="H43" s="84"/>
      <c r="I43" s="85"/>
      <c r="J43" s="85"/>
      <c r="K43" s="85"/>
      <c r="L43" s="85"/>
      <c r="M43" s="85"/>
      <c r="N43" s="85"/>
      <c r="O43" s="85"/>
      <c r="P43" s="85"/>
      <c r="Q43" s="85"/>
      <c r="R43" s="85"/>
      <c r="S43" s="85"/>
      <c r="T43" s="85"/>
      <c r="U43" s="85"/>
      <c r="V43" s="85"/>
    </row>
    <row r="44" spans="2:22" s="99" customFormat="1">
      <c r="B44" s="148" t="s">
        <v>24</v>
      </c>
      <c r="C44" s="133">
        <f t="shared" si="2"/>
        <v>1.9501831800000001E-4</v>
      </c>
      <c r="D44" s="133">
        <f t="shared" si="2"/>
        <v>1.5752198348287501E-4</v>
      </c>
      <c r="E44" s="149">
        <f>((5.49*(1-0.0025))+(19.8*(1-0.0975))+(9.62*(1-0.0481)))/3</f>
        <v>10.834351</v>
      </c>
      <c r="F44" s="100" t="s">
        <v>110</v>
      </c>
      <c r="G44" s="453"/>
      <c r="H44" s="84"/>
      <c r="I44" s="85"/>
      <c r="J44" s="85"/>
      <c r="K44" s="85"/>
      <c r="L44" s="85"/>
      <c r="M44" s="85"/>
      <c r="N44" s="85"/>
      <c r="O44" s="85"/>
      <c r="P44" s="85"/>
      <c r="Q44" s="85"/>
      <c r="R44" s="85"/>
      <c r="S44" s="85"/>
      <c r="T44" s="85"/>
      <c r="U44" s="85"/>
      <c r="V44" s="85"/>
    </row>
    <row r="45" spans="2:22" s="99" customFormat="1">
      <c r="B45" s="148" t="s">
        <v>117</v>
      </c>
      <c r="C45" s="133">
        <f t="shared" si="2"/>
        <v>4.7629541999999997E-2</v>
      </c>
      <c r="D45" s="133">
        <f t="shared" si="2"/>
        <v>3.8471770268374998E-2</v>
      </c>
      <c r="E45" s="149">
        <f>((1350*(1-0.0025))+(5690*(1-0.0975))+(1530*(1-0.0481)))/3</f>
        <v>2646.0856666666664</v>
      </c>
      <c r="F45" s="100" t="s">
        <v>110</v>
      </c>
      <c r="G45" s="453"/>
      <c r="H45" s="84"/>
      <c r="I45" s="85"/>
      <c r="J45" s="85"/>
      <c r="K45" s="85"/>
      <c r="L45" s="85"/>
      <c r="M45" s="85"/>
      <c r="N45" s="85"/>
      <c r="O45" s="85"/>
      <c r="P45" s="85"/>
      <c r="Q45" s="85"/>
      <c r="R45" s="85"/>
      <c r="S45" s="85"/>
      <c r="T45" s="85"/>
      <c r="U45" s="85"/>
      <c r="V45" s="85"/>
    </row>
    <row r="46" spans="2:22" s="99" customFormat="1">
      <c r="B46" s="148" t="s">
        <v>118</v>
      </c>
      <c r="C46" s="133">
        <f t="shared" si="2"/>
        <v>3.6895245000000009E-8</v>
      </c>
      <c r="D46" s="133">
        <f t="shared" si="2"/>
        <v>2.9801365497812507E-8</v>
      </c>
      <c r="E46" s="149">
        <f>(((0.00489/2)*(1-0.0025))+((0.00548/2)*(1-0.0975))+((0.0026/2)*(1-0.0481)))/3</f>
        <v>2.0497358333333338E-3</v>
      </c>
      <c r="F46" s="100" t="s">
        <v>110</v>
      </c>
      <c r="G46" s="453"/>
      <c r="H46" s="84"/>
      <c r="I46" s="85"/>
      <c r="J46" s="85"/>
      <c r="K46" s="85"/>
      <c r="L46" s="85"/>
      <c r="M46" s="85"/>
      <c r="N46" s="85"/>
      <c r="O46" s="85"/>
      <c r="P46" s="85"/>
      <c r="Q46" s="85"/>
      <c r="R46" s="85"/>
      <c r="S46" s="85"/>
      <c r="T46" s="85"/>
      <c r="U46" s="85"/>
      <c r="V46" s="85"/>
    </row>
    <row r="47" spans="2:22" s="99" customFormat="1">
      <c r="B47" s="148" t="s">
        <v>119</v>
      </c>
      <c r="C47" s="133">
        <f t="shared" si="2"/>
        <v>7.7676122999999989E-5</v>
      </c>
      <c r="D47" s="133">
        <f t="shared" si="2"/>
        <v>6.2741270100687491E-5</v>
      </c>
      <c r="E47" s="149">
        <f>((3.07*(1-0.0025))+((2.77/2)*(1-0.0975))+(9.07*(1-0.0481)))/3</f>
        <v>4.3153401666666662</v>
      </c>
      <c r="F47" s="100" t="s">
        <v>110</v>
      </c>
      <c r="G47" s="453"/>
      <c r="H47" s="84"/>
      <c r="I47" s="85"/>
      <c r="J47" s="85"/>
      <c r="K47" s="85"/>
      <c r="L47" s="85"/>
      <c r="M47" s="85"/>
      <c r="N47" s="85"/>
      <c r="O47" s="85"/>
      <c r="P47" s="85"/>
      <c r="Q47" s="85"/>
      <c r="R47" s="85"/>
      <c r="S47" s="85"/>
      <c r="T47" s="85"/>
      <c r="U47" s="85"/>
      <c r="V47" s="85"/>
    </row>
    <row r="48" spans="2:22" s="99" customFormat="1">
      <c r="B48" s="148" t="s">
        <v>120</v>
      </c>
      <c r="C48" s="133">
        <f t="shared" si="2"/>
        <v>2.1077887500000003E-5</v>
      </c>
      <c r="D48" s="133">
        <f t="shared" si="2"/>
        <v>1.7025224505468751E-5</v>
      </c>
      <c r="E48" s="149">
        <f>(((2.31/2)*(1-0.0025))+((2.5/2)*(1-0.0481)))/2</f>
        <v>1.1709937500000001</v>
      </c>
      <c r="F48" s="100" t="s">
        <v>110</v>
      </c>
      <c r="G48" s="453"/>
      <c r="H48" s="84"/>
      <c r="I48" s="85"/>
      <c r="J48" s="85"/>
      <c r="K48" s="85"/>
      <c r="L48" s="85"/>
      <c r="M48" s="85"/>
      <c r="N48" s="85"/>
      <c r="O48" s="85"/>
      <c r="P48" s="85"/>
      <c r="Q48" s="85"/>
      <c r="R48" s="85"/>
      <c r="S48" s="85"/>
      <c r="T48" s="85"/>
      <c r="U48" s="85"/>
      <c r="V48" s="85"/>
    </row>
    <row r="49" spans="2:22" s="99" customFormat="1">
      <c r="B49" s="148"/>
      <c r="C49" s="143"/>
      <c r="D49" s="143"/>
      <c r="E49" s="149"/>
      <c r="F49" s="100"/>
      <c r="G49" s="5"/>
      <c r="H49" s="84"/>
      <c r="I49" s="85"/>
      <c r="J49" s="85"/>
      <c r="K49" s="85"/>
      <c r="L49" s="85"/>
      <c r="M49" s="85"/>
      <c r="N49" s="85"/>
      <c r="O49" s="85"/>
      <c r="P49" s="85"/>
      <c r="Q49" s="85"/>
      <c r="R49" s="85"/>
      <c r="S49" s="85"/>
      <c r="T49" s="85"/>
      <c r="U49" s="85"/>
      <c r="V49" s="85"/>
    </row>
    <row r="50" spans="2:22" s="99" customFormat="1">
      <c r="B50" s="197" t="s">
        <v>121</v>
      </c>
      <c r="C50" s="146"/>
      <c r="D50" s="146"/>
      <c r="E50" s="147"/>
      <c r="F50" s="198"/>
      <c r="G50" s="199"/>
      <c r="H50" s="84"/>
      <c r="I50" s="85"/>
      <c r="J50" s="85"/>
      <c r="K50" s="85"/>
      <c r="L50" s="85"/>
      <c r="M50" s="85"/>
      <c r="N50" s="85"/>
      <c r="O50" s="85"/>
      <c r="P50" s="85"/>
      <c r="Q50" s="85"/>
      <c r="R50" s="85"/>
      <c r="S50" s="85"/>
      <c r="T50" s="85"/>
      <c r="U50" s="85"/>
      <c r="V50" s="85"/>
    </row>
    <row r="51" spans="2:22" s="99" customFormat="1" ht="15.75">
      <c r="B51" s="150" t="s">
        <v>122</v>
      </c>
      <c r="C51" s="200">
        <f>$C$12*E51</f>
        <v>50.400000000000006</v>
      </c>
      <c r="D51" s="201">
        <f>E51*$C$13/2000</f>
        <v>40.70955</v>
      </c>
      <c r="E51" s="204">
        <v>0.14000000000000001</v>
      </c>
      <c r="F51" s="153" t="s">
        <v>95</v>
      </c>
      <c r="G51" s="202" t="s">
        <v>104</v>
      </c>
      <c r="H51" s="84"/>
      <c r="I51" s="85"/>
      <c r="J51" s="85"/>
      <c r="K51" s="85"/>
      <c r="L51" s="85"/>
      <c r="M51" s="85"/>
      <c r="N51" s="85"/>
      <c r="O51" s="85"/>
      <c r="P51" s="85"/>
      <c r="Q51" s="85"/>
      <c r="R51" s="85"/>
      <c r="S51" s="85"/>
      <c r="T51" s="85"/>
      <c r="U51" s="85"/>
      <c r="V51" s="85"/>
    </row>
    <row r="52" spans="2:22" s="99" customFormat="1" ht="3.75" customHeight="1">
      <c r="B52" s="203"/>
      <c r="C52" s="203"/>
      <c r="D52" s="143"/>
      <c r="E52" s="149"/>
      <c r="F52" s="100"/>
      <c r="G52" s="100"/>
      <c r="H52" s="84"/>
      <c r="I52" s="85"/>
      <c r="J52" s="85"/>
      <c r="K52" s="85"/>
      <c r="L52" s="85"/>
      <c r="M52" s="85"/>
      <c r="N52" s="85"/>
      <c r="O52" s="85"/>
      <c r="P52" s="85"/>
      <c r="Q52" s="85"/>
      <c r="R52" s="85"/>
      <c r="S52" s="85"/>
      <c r="T52" s="85"/>
      <c r="U52" s="85"/>
      <c r="V52" s="85"/>
    </row>
    <row r="53" spans="2:22" ht="60" customHeight="1">
      <c r="B53" s="454" t="s">
        <v>123</v>
      </c>
      <c r="C53" s="454"/>
      <c r="D53" s="454"/>
      <c r="E53" s="454"/>
      <c r="F53" s="454"/>
      <c r="G53" s="454"/>
    </row>
    <row r="54" spans="2:22" ht="27" customHeight="1"/>
    <row r="55" spans="2:22">
      <c r="B55" s="348"/>
    </row>
  </sheetData>
  <mergeCells count="4">
    <mergeCell ref="G38:G48"/>
    <mergeCell ref="B53:G53"/>
    <mergeCell ref="G25:G27"/>
    <mergeCell ref="G28:G30"/>
  </mergeCells>
  <conditionalFormatting sqref="C25:E32 F33:H36 E38:E48 C49:E51 D52:E52">
    <cfRule type="cellIs" dxfId="12" priority="5" operator="lessThan">
      <formula>0.005</formula>
    </cfRule>
  </conditionalFormatting>
  <conditionalFormatting sqref="D33:E37 C35">
    <cfRule type="cellIs" dxfId="11" priority="29" operator="lessThan">
      <formula>0.005</formula>
    </cfRule>
  </conditionalFormatting>
  <pageMargins left="0.7" right="0.7" top="0.75" bottom="0.75" header="0.3" footer="0.3"/>
  <pageSetup scale="64" orientation="landscape" r:id="rId1"/>
  <rowBreaks count="1" manualBreakCount="1">
    <brk id="36" min="1"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618FC-F007-416D-B14C-BA78AD9B6B33}">
  <sheetPr>
    <tabColor rgb="FF92D050"/>
    <pageSetUpPr fitToPage="1"/>
  </sheetPr>
  <dimension ref="B1:V57"/>
  <sheetViews>
    <sheetView topLeftCell="H1" zoomScale="150" zoomScaleNormal="150" zoomScaleSheetLayoutView="140" workbookViewId="0">
      <selection activeCell="L46" sqref="L46"/>
    </sheetView>
  </sheetViews>
  <sheetFormatPr defaultColWidth="9.140625" defaultRowHeight="12.75"/>
  <cols>
    <col min="1" max="1" width="2.7109375" style="82" customWidth="1"/>
    <col min="2" max="2" width="35.7109375" style="82" customWidth="1"/>
    <col min="3" max="6" width="16.7109375" style="82" customWidth="1"/>
    <col min="7" max="7" width="41.5703125" style="83" customWidth="1"/>
    <col min="8" max="8" width="14" style="84" bestFit="1" customWidth="1"/>
    <col min="9" max="9" width="8" style="85" bestFit="1" customWidth="1"/>
    <col min="10" max="10" width="11.140625" style="85" customWidth="1"/>
    <col min="11" max="12" width="9.140625" style="85"/>
    <col min="13" max="13" width="12.7109375" style="85" customWidth="1"/>
    <col min="14" max="17" width="9.140625" style="85"/>
    <col min="18" max="18" width="10.140625" style="85" bestFit="1" customWidth="1"/>
    <col min="19" max="19" width="11" style="85" customWidth="1"/>
    <col min="20" max="20" width="11.28515625" style="85" customWidth="1"/>
    <col min="21" max="22" width="9.140625" style="85"/>
    <col min="23" max="16384" width="9.140625" style="82"/>
  </cols>
  <sheetData>
    <row r="1" spans="2:22">
      <c r="B1" s="81"/>
    </row>
    <row r="3" spans="2:22" s="86" customFormat="1">
      <c r="B3" s="6" t="s">
        <v>0</v>
      </c>
      <c r="C3" s="7" t="str">
        <f>'1. Step 1 Evaluation'!C2</f>
        <v>U. S. Steel</v>
      </c>
      <c r="G3" s="88"/>
      <c r="H3" s="3"/>
      <c r="I3" s="89"/>
      <c r="J3" s="89"/>
      <c r="K3" s="89"/>
      <c r="L3" s="89"/>
      <c r="M3" s="89"/>
      <c r="N3" s="89"/>
      <c r="O3" s="89"/>
      <c r="P3" s="89"/>
      <c r="Q3" s="89"/>
      <c r="R3" s="89"/>
      <c r="S3" s="89"/>
      <c r="T3" s="89"/>
      <c r="U3" s="89"/>
      <c r="V3" s="89"/>
    </row>
    <row r="4" spans="2:22" s="86" customFormat="1">
      <c r="B4" s="6" t="s">
        <v>2</v>
      </c>
      <c r="C4" s="7" t="str">
        <f>'1. Step 1 Evaluation'!C3</f>
        <v>Edgar Thomson Plant</v>
      </c>
      <c r="G4" s="90"/>
      <c r="H4" s="91"/>
      <c r="I4" s="89"/>
      <c r="J4" s="89"/>
      <c r="K4" s="89"/>
      <c r="L4" s="89"/>
      <c r="M4" s="89"/>
      <c r="N4" s="89"/>
      <c r="O4" s="89"/>
      <c r="P4" s="89"/>
      <c r="Q4" s="89"/>
      <c r="R4" s="89"/>
      <c r="S4" s="89"/>
      <c r="T4" s="89"/>
      <c r="U4" s="89"/>
      <c r="V4" s="89"/>
    </row>
    <row r="5" spans="2:22" s="86" customFormat="1">
      <c r="B5" s="6" t="s">
        <v>4</v>
      </c>
      <c r="C5" s="7" t="str">
        <f>'1. Step 1 Evaluation'!C4</f>
        <v>Slag Recycler Project</v>
      </c>
      <c r="G5" s="87"/>
      <c r="H5" s="91"/>
      <c r="I5" s="89"/>
      <c r="J5" s="89"/>
      <c r="K5" s="89"/>
      <c r="L5" s="89"/>
      <c r="M5" s="89"/>
      <c r="N5" s="89"/>
      <c r="O5" s="89"/>
      <c r="P5" s="89"/>
      <c r="Q5" s="89"/>
      <c r="R5" s="89"/>
      <c r="S5" s="89"/>
      <c r="T5" s="89"/>
      <c r="U5" s="89"/>
      <c r="V5" s="89"/>
    </row>
    <row r="6" spans="2:22" s="86" customFormat="1">
      <c r="B6" s="6"/>
      <c r="C6" s="92"/>
      <c r="G6" s="87"/>
      <c r="H6" s="91"/>
      <c r="I6" s="89"/>
      <c r="J6" s="89"/>
      <c r="K6" s="89"/>
      <c r="L6" s="89"/>
      <c r="M6" s="89"/>
      <c r="N6" s="89"/>
      <c r="O6" s="89"/>
      <c r="P6" s="89"/>
      <c r="Q6" s="89"/>
      <c r="R6" s="89"/>
      <c r="S6" s="89"/>
      <c r="T6" s="89"/>
      <c r="U6" s="89"/>
      <c r="V6" s="89"/>
    </row>
    <row r="7" spans="2:22" s="96" customFormat="1">
      <c r="B7" s="38" t="s">
        <v>124</v>
      </c>
      <c r="C7" s="38"/>
      <c r="D7" s="86"/>
      <c r="E7" s="86"/>
      <c r="F7" s="86"/>
      <c r="G7" s="93"/>
      <c r="H7" s="94"/>
      <c r="I7" s="95"/>
      <c r="J7" s="95"/>
      <c r="K7" s="95"/>
      <c r="L7" s="95"/>
      <c r="M7" s="95"/>
      <c r="N7" s="95"/>
      <c r="O7" s="95"/>
      <c r="P7" s="95"/>
      <c r="Q7" s="95"/>
      <c r="R7" s="95"/>
      <c r="S7" s="95"/>
      <c r="T7" s="95"/>
      <c r="U7" s="95"/>
      <c r="V7" s="95"/>
    </row>
    <row r="8" spans="2:22" s="99" customFormat="1">
      <c r="B8" s="97"/>
      <c r="C8" s="97"/>
      <c r="D8" s="98"/>
      <c r="G8" s="100"/>
      <c r="H8" s="84"/>
      <c r="I8" s="85"/>
      <c r="J8" s="85"/>
      <c r="K8" s="85"/>
      <c r="L8" s="85"/>
      <c r="M8" s="85"/>
      <c r="N8" s="85"/>
      <c r="O8" s="85"/>
      <c r="P8" s="85"/>
      <c r="Q8" s="85"/>
      <c r="R8" s="85"/>
      <c r="S8" s="85"/>
      <c r="T8" s="85"/>
      <c r="U8" s="85"/>
      <c r="V8" s="85"/>
    </row>
    <row r="9" spans="2:22" s="103" customFormat="1">
      <c r="B9" s="101" t="s">
        <v>75</v>
      </c>
      <c r="C9" s="102" t="s">
        <v>125</v>
      </c>
      <c r="D9" s="102"/>
      <c r="E9" s="102"/>
      <c r="H9" s="104"/>
      <c r="I9" s="105"/>
      <c r="J9" s="106"/>
      <c r="K9" s="106"/>
      <c r="L9" s="106"/>
      <c r="M9" s="106"/>
      <c r="N9" s="106"/>
      <c r="O9" s="106"/>
      <c r="P9" s="106"/>
      <c r="Q9" s="106"/>
      <c r="R9" s="106"/>
      <c r="S9" s="106"/>
      <c r="T9" s="106"/>
      <c r="U9" s="106"/>
      <c r="V9" s="106"/>
    </row>
    <row r="10" spans="2:22" s="103" customFormat="1">
      <c r="B10" s="107"/>
      <c r="C10" s="107"/>
      <c r="D10" s="107"/>
      <c r="E10" s="102"/>
      <c r="H10" s="106"/>
      <c r="I10" s="105"/>
      <c r="J10" s="106"/>
      <c r="K10" s="106"/>
      <c r="L10" s="106"/>
      <c r="M10" s="106"/>
      <c r="N10" s="106"/>
      <c r="O10" s="106"/>
      <c r="P10" s="106"/>
      <c r="Q10" s="106"/>
      <c r="R10" s="106"/>
      <c r="S10" s="106"/>
      <c r="T10" s="106"/>
      <c r="U10" s="106"/>
      <c r="V10" s="106"/>
    </row>
    <row r="11" spans="2:22" s="103" customFormat="1">
      <c r="B11" s="108" t="s">
        <v>77</v>
      </c>
      <c r="C11" s="109">
        <f>IF(C12=0,0,'4. Slag Gran_New'!$C$12)</f>
        <v>0</v>
      </c>
      <c r="D11" s="110" t="s">
        <v>126</v>
      </c>
      <c r="E11" s="102"/>
      <c r="H11" s="106"/>
      <c r="I11" s="105"/>
      <c r="J11" s="106"/>
      <c r="K11" s="106"/>
      <c r="L11" s="106"/>
      <c r="M11" s="106"/>
      <c r="N11" s="106"/>
      <c r="O11" s="106"/>
      <c r="P11" s="106"/>
      <c r="Q11" s="106"/>
      <c r="R11" s="106"/>
      <c r="S11" s="106"/>
      <c r="T11" s="106"/>
      <c r="U11" s="106"/>
      <c r="V11" s="106"/>
    </row>
    <row r="12" spans="2:22" s="99" customFormat="1">
      <c r="B12" s="108" t="s">
        <v>77</v>
      </c>
      <c r="C12" s="109">
        <f>'1. Step 1 Evaluation'!D36</f>
        <v>0</v>
      </c>
      <c r="D12" s="110" t="s">
        <v>80</v>
      </c>
      <c r="G12" s="111"/>
      <c r="H12" s="112"/>
      <c r="I12" s="85"/>
      <c r="J12" s="85"/>
      <c r="K12" s="85"/>
      <c r="L12" s="85"/>
      <c r="M12" s="85"/>
      <c r="N12" s="85"/>
      <c r="O12" s="85"/>
      <c r="P12" s="85"/>
      <c r="Q12" s="85"/>
      <c r="R12" s="85"/>
      <c r="S12" s="85"/>
      <c r="T12" s="85"/>
      <c r="U12" s="85"/>
      <c r="V12" s="85"/>
    </row>
    <row r="13" spans="2:22" s="99" customFormat="1">
      <c r="B13" s="108" t="s">
        <v>83</v>
      </c>
      <c r="C13" s="109">
        <f>C12/365</f>
        <v>0</v>
      </c>
      <c r="D13" s="110" t="s">
        <v>127</v>
      </c>
      <c r="G13" s="111"/>
      <c r="H13" s="112"/>
      <c r="I13" s="85"/>
      <c r="J13" s="85"/>
      <c r="K13" s="85"/>
      <c r="L13" s="85"/>
      <c r="M13" s="85"/>
      <c r="N13" s="85"/>
      <c r="O13" s="85"/>
      <c r="P13" s="85"/>
      <c r="Q13" s="85"/>
      <c r="R13" s="85"/>
      <c r="S13" s="85"/>
      <c r="T13" s="85"/>
      <c r="U13" s="85"/>
      <c r="V13" s="85"/>
    </row>
    <row r="14" spans="2:22" s="99" customFormat="1">
      <c r="B14" s="114"/>
      <c r="C14" s="115"/>
      <c r="D14" s="110"/>
      <c r="G14" s="111"/>
      <c r="H14" s="112"/>
      <c r="I14" s="85"/>
      <c r="J14" s="85"/>
      <c r="K14" s="85"/>
      <c r="L14" s="85"/>
      <c r="M14" s="85"/>
      <c r="N14" s="85"/>
      <c r="O14" s="85"/>
      <c r="P14" s="85"/>
      <c r="Q14" s="85"/>
      <c r="R14" s="85"/>
      <c r="S14" s="85"/>
      <c r="T14" s="85"/>
      <c r="U14" s="85"/>
      <c r="V14" s="85"/>
    </row>
    <row r="15" spans="2:22" s="99" customFormat="1">
      <c r="B15" s="116" t="s">
        <v>86</v>
      </c>
      <c r="D15" s="110"/>
      <c r="E15" s="110"/>
      <c r="F15" s="110"/>
      <c r="G15" s="100"/>
      <c r="H15" s="84"/>
      <c r="I15" s="85"/>
      <c r="J15" s="85"/>
      <c r="K15" s="117"/>
      <c r="L15" s="85"/>
      <c r="M15" s="85"/>
      <c r="N15" s="85"/>
      <c r="O15" s="85"/>
      <c r="P15" s="85"/>
      <c r="Q15" s="85"/>
      <c r="R15" s="195"/>
      <c r="S15" s="195"/>
      <c r="T15" s="85"/>
      <c r="U15" s="85"/>
      <c r="V15" s="85"/>
    </row>
    <row r="16" spans="2:22" s="99" customFormat="1" ht="3.75" customHeight="1">
      <c r="D16" s="98"/>
      <c r="E16" s="98"/>
      <c r="G16" s="100"/>
      <c r="H16" s="84"/>
      <c r="I16" s="85"/>
      <c r="J16" s="85"/>
      <c r="K16" s="85"/>
      <c r="L16" s="85"/>
      <c r="M16" s="85"/>
      <c r="N16" s="85"/>
      <c r="O16" s="85"/>
      <c r="P16" s="85"/>
      <c r="Q16" s="85"/>
      <c r="R16" s="85"/>
      <c r="S16" s="85"/>
      <c r="T16" s="85"/>
      <c r="U16" s="85"/>
      <c r="V16" s="85"/>
    </row>
    <row r="17" spans="2:22" s="99" customFormat="1" ht="3.75" customHeight="1">
      <c r="B17" s="118"/>
      <c r="C17" s="119"/>
      <c r="D17" s="120"/>
      <c r="E17" s="120"/>
      <c r="F17" s="119"/>
      <c r="G17" s="4"/>
      <c r="H17" s="84"/>
      <c r="I17" s="85"/>
      <c r="J17" s="85"/>
      <c r="K17" s="85"/>
      <c r="L17" s="85"/>
      <c r="M17" s="85"/>
      <c r="N17" s="85"/>
      <c r="O17" s="85"/>
      <c r="P17" s="85"/>
      <c r="Q17" s="85"/>
      <c r="R17" s="85"/>
      <c r="S17" s="85"/>
      <c r="T17" s="85"/>
      <c r="U17" s="85"/>
      <c r="V17" s="85"/>
    </row>
    <row r="18" spans="2:22" s="126" customFormat="1" ht="36" customHeight="1">
      <c r="B18" s="121" t="s">
        <v>128</v>
      </c>
      <c r="C18" s="122" t="s">
        <v>88</v>
      </c>
      <c r="D18" s="122" t="s">
        <v>89</v>
      </c>
      <c r="E18" s="122" t="s">
        <v>90</v>
      </c>
      <c r="F18" s="122" t="s">
        <v>91</v>
      </c>
      <c r="G18" s="123" t="s">
        <v>92</v>
      </c>
      <c r="H18" s="124"/>
      <c r="I18" s="2"/>
      <c r="J18" s="125"/>
      <c r="K18" s="125"/>
      <c r="L18" s="125"/>
      <c r="M18" s="125"/>
      <c r="N18" s="125"/>
      <c r="O18" s="125"/>
      <c r="P18" s="125"/>
      <c r="Q18" s="125"/>
      <c r="R18" s="125"/>
      <c r="S18" s="125"/>
      <c r="T18" s="125"/>
      <c r="U18" s="125"/>
      <c r="V18" s="125"/>
    </row>
    <row r="19" spans="2:22" s="99" customFormat="1" ht="3.75" customHeight="1">
      <c r="B19" s="127"/>
      <c r="D19" s="421"/>
      <c r="E19" s="100"/>
      <c r="F19" s="425"/>
      <c r="G19" s="5"/>
      <c r="H19" s="430"/>
      <c r="I19" s="85"/>
      <c r="J19" s="136"/>
      <c r="K19" s="85"/>
      <c r="L19" s="136"/>
      <c r="M19" s="85"/>
      <c r="N19" s="136"/>
      <c r="O19" s="85"/>
      <c r="P19" s="136"/>
      <c r="Q19" s="85"/>
      <c r="R19" s="85"/>
      <c r="S19" s="85"/>
      <c r="T19" s="136"/>
      <c r="U19" s="85"/>
      <c r="V19" s="85"/>
    </row>
    <row r="20" spans="2:22" s="99" customFormat="1" ht="3.75" customHeight="1">
      <c r="B20" s="118"/>
      <c r="C20" s="119"/>
      <c r="D20" s="120"/>
      <c r="E20" s="128"/>
      <c r="F20" s="128"/>
      <c r="G20" s="4"/>
      <c r="H20" s="84"/>
      <c r="I20" s="85"/>
      <c r="J20" s="85"/>
      <c r="K20" s="85"/>
      <c r="L20" s="85"/>
      <c r="M20" s="85"/>
      <c r="N20" s="85"/>
      <c r="O20" s="85"/>
      <c r="P20" s="85"/>
      <c r="Q20" s="85"/>
      <c r="R20" s="85"/>
      <c r="S20" s="85"/>
      <c r="T20" s="85"/>
      <c r="U20" s="85"/>
      <c r="V20" s="85"/>
    </row>
    <row r="21" spans="2:22" s="99" customFormat="1">
      <c r="B21" s="129" t="s">
        <v>93</v>
      </c>
      <c r="C21" s="130"/>
      <c r="D21" s="131"/>
      <c r="E21" s="131"/>
      <c r="G21" s="5"/>
      <c r="H21" s="84"/>
      <c r="I21" s="85"/>
      <c r="J21" s="85"/>
      <c r="K21" s="85"/>
      <c r="L21" s="85"/>
      <c r="M21" s="85"/>
      <c r="N21" s="85"/>
      <c r="O21" s="85"/>
      <c r="P21" s="85"/>
      <c r="Q21" s="85"/>
      <c r="R21" s="85"/>
      <c r="S21" s="85"/>
      <c r="T21" s="85"/>
      <c r="U21" s="85"/>
      <c r="V21" s="85"/>
    </row>
    <row r="22" spans="2:22" s="99" customFormat="1" ht="12.75" customHeight="1">
      <c r="B22" s="132" t="s">
        <v>94</v>
      </c>
      <c r="C22" s="196">
        <f>$C$11*E22</f>
        <v>0</v>
      </c>
      <c r="D22" s="143">
        <f>E22*$C$12/2000</f>
        <v>0</v>
      </c>
      <c r="E22" s="346">
        <f>'8b. Baseline Emissions_Other'!C53</f>
        <v>0.16</v>
      </c>
      <c r="F22" s="100" t="s">
        <v>95</v>
      </c>
      <c r="G22" s="453" t="s">
        <v>129</v>
      </c>
      <c r="H22" s="84"/>
      <c r="I22" s="85"/>
      <c r="J22" s="136"/>
      <c r="K22" s="136"/>
      <c r="L22" s="85"/>
      <c r="M22" s="85"/>
      <c r="N22" s="85"/>
      <c r="O22" s="85"/>
      <c r="P22" s="85"/>
      <c r="Q22" s="85"/>
      <c r="R22" s="85"/>
      <c r="S22" s="85"/>
      <c r="T22" s="85"/>
      <c r="U22" s="85"/>
      <c r="V22" s="85"/>
    </row>
    <row r="23" spans="2:22" s="99" customFormat="1" ht="15.75">
      <c r="B23" s="132" t="s">
        <v>97</v>
      </c>
      <c r="C23" s="196">
        <f t="shared" ref="C23:C28" si="0">$C$11*E23</f>
        <v>0</v>
      </c>
      <c r="D23" s="143">
        <f>E23*$C$12/2000</f>
        <v>0</v>
      </c>
      <c r="E23" s="346">
        <f>'8b. Baseline Emissions_Other'!C54</f>
        <v>0.11</v>
      </c>
      <c r="F23" s="100" t="s">
        <v>95</v>
      </c>
      <c r="G23" s="453"/>
      <c r="H23" s="84"/>
      <c r="I23" s="85"/>
      <c r="J23" s="136"/>
      <c r="K23" s="85"/>
      <c r="L23" s="85"/>
      <c r="M23" s="85"/>
      <c r="N23" s="85"/>
      <c r="O23" s="85"/>
      <c r="P23" s="85"/>
      <c r="Q23" s="85"/>
      <c r="R23" s="85"/>
      <c r="S23" s="85"/>
      <c r="T23" s="85"/>
      <c r="U23" s="85"/>
      <c r="V23" s="85"/>
    </row>
    <row r="24" spans="2:22" s="99" customFormat="1" ht="15.75">
      <c r="B24" s="132" t="s">
        <v>98</v>
      </c>
      <c r="C24" s="196">
        <f t="shared" si="0"/>
        <v>0</v>
      </c>
      <c r="D24" s="143">
        <f t="shared" ref="D24:D29" si="1">E24*$C$12/2000</f>
        <v>0</v>
      </c>
      <c r="E24" s="346">
        <f>'8b. Baseline Emissions_Other'!C55</f>
        <v>0.11</v>
      </c>
      <c r="F24" s="100" t="s">
        <v>95</v>
      </c>
      <c r="G24" s="453"/>
      <c r="H24" s="84"/>
      <c r="I24" s="85"/>
      <c r="J24" s="136"/>
      <c r="K24" s="85"/>
      <c r="L24" s="85"/>
      <c r="M24" s="85"/>
      <c r="N24" s="85"/>
      <c r="O24" s="85"/>
      <c r="P24" s="85"/>
      <c r="Q24" s="85"/>
      <c r="R24" s="85"/>
      <c r="S24" s="85"/>
      <c r="T24" s="85"/>
      <c r="U24" s="85"/>
      <c r="V24" s="85"/>
    </row>
    <row r="25" spans="2:22" s="99" customFormat="1" ht="38.25" customHeight="1">
      <c r="B25" s="132" t="s">
        <v>103</v>
      </c>
      <c r="C25" s="196">
        <f t="shared" si="0"/>
        <v>0</v>
      </c>
      <c r="D25" s="143">
        <f t="shared" si="1"/>
        <v>0</v>
      </c>
      <c r="E25" s="140">
        <f>'8b. Baseline Emissions_Other'!C49</f>
        <v>0.11999999999999998</v>
      </c>
      <c r="F25" s="100" t="s">
        <v>95</v>
      </c>
      <c r="G25" s="384" t="s">
        <v>130</v>
      </c>
      <c r="H25" s="84"/>
      <c r="I25" s="85"/>
      <c r="J25" s="136"/>
      <c r="K25" s="85"/>
      <c r="L25" s="85"/>
      <c r="M25" s="85"/>
      <c r="N25" s="85"/>
      <c r="O25" s="85"/>
      <c r="P25" s="85"/>
      <c r="Q25" s="85"/>
      <c r="R25" s="85"/>
      <c r="S25" s="85"/>
      <c r="T25" s="85"/>
      <c r="U25" s="85"/>
      <c r="V25" s="85"/>
    </row>
    <row r="26" spans="2:22" s="99" customFormat="1" ht="15.75">
      <c r="B26" s="132" t="s">
        <v>99</v>
      </c>
      <c r="C26" s="134">
        <f t="shared" si="0"/>
        <v>0</v>
      </c>
      <c r="D26" s="134">
        <f t="shared" si="1"/>
        <v>0</v>
      </c>
      <c r="E26" s="382">
        <f>'8b. Baseline Emissions_Other'!C50</f>
        <v>2.4799999999999999E-2</v>
      </c>
      <c r="F26" s="100" t="s">
        <v>95</v>
      </c>
      <c r="G26" s="453" t="s">
        <v>129</v>
      </c>
      <c r="H26" s="84"/>
      <c r="I26" s="85"/>
      <c r="J26" s="136"/>
      <c r="K26" s="85"/>
      <c r="L26" s="85"/>
      <c r="M26" s="85"/>
      <c r="N26" s="85"/>
      <c r="O26" s="85"/>
      <c r="P26" s="85"/>
      <c r="Q26" s="85"/>
      <c r="R26" s="85"/>
      <c r="S26" s="85"/>
      <c r="T26" s="85"/>
      <c r="U26" s="85"/>
      <c r="V26" s="85"/>
    </row>
    <row r="27" spans="2:22" s="99" customFormat="1">
      <c r="B27" s="132" t="s">
        <v>101</v>
      </c>
      <c r="C27" s="134">
        <f t="shared" si="0"/>
        <v>0</v>
      </c>
      <c r="D27" s="134">
        <f t="shared" si="1"/>
        <v>0</v>
      </c>
      <c r="E27" s="346">
        <f>'8b. Baseline Emissions_Other'!C51</f>
        <v>8.5999999999999993E-2</v>
      </c>
      <c r="F27" s="100" t="s">
        <v>95</v>
      </c>
      <c r="G27" s="453"/>
      <c r="H27" s="84"/>
      <c r="I27" s="85"/>
      <c r="J27" s="136"/>
      <c r="K27" s="85"/>
      <c r="L27" s="85"/>
      <c r="M27" s="85"/>
      <c r="N27" s="85"/>
      <c r="O27" s="85"/>
      <c r="P27" s="85"/>
      <c r="Q27" s="85"/>
      <c r="R27" s="85"/>
      <c r="S27" s="85"/>
      <c r="T27" s="85"/>
      <c r="U27" s="85"/>
      <c r="V27" s="85"/>
    </row>
    <row r="28" spans="2:22" s="99" customFormat="1">
      <c r="B28" s="132" t="s">
        <v>102</v>
      </c>
      <c r="C28" s="134">
        <f t="shared" si="0"/>
        <v>0</v>
      </c>
      <c r="D28" s="134">
        <f t="shared" si="1"/>
        <v>0</v>
      </c>
      <c r="E28" s="346">
        <f>'8b. Baseline Emissions_Other'!C52</f>
        <v>2.3400000000000001E-3</v>
      </c>
      <c r="F28" s="100" t="s">
        <v>95</v>
      </c>
      <c r="G28" s="453"/>
      <c r="H28" s="84"/>
      <c r="I28" s="85"/>
      <c r="J28" s="136"/>
      <c r="K28" s="85"/>
      <c r="L28" s="85"/>
      <c r="M28" s="85"/>
      <c r="N28" s="85"/>
      <c r="O28" s="85"/>
      <c r="P28" s="85"/>
      <c r="Q28" s="85"/>
      <c r="R28" s="85"/>
      <c r="S28" s="85"/>
      <c r="T28" s="85"/>
      <c r="U28" s="85"/>
      <c r="V28" s="85"/>
    </row>
    <row r="29" spans="2:22" s="99" customFormat="1" ht="15.75">
      <c r="B29" s="132" t="s">
        <v>105</v>
      </c>
      <c r="C29" s="369">
        <f>$C$11*E29</f>
        <v>0</v>
      </c>
      <c r="D29" s="370">
        <f t="shared" si="1"/>
        <v>0</v>
      </c>
      <c r="E29" s="371">
        <f>C53</f>
        <v>6.8131810256422523E-2</v>
      </c>
      <c r="F29" s="372" t="s">
        <v>95</v>
      </c>
      <c r="G29" s="368" t="s">
        <v>131</v>
      </c>
      <c r="H29" s="84"/>
      <c r="I29" s="85"/>
      <c r="J29" s="136"/>
      <c r="K29" s="85"/>
      <c r="L29" s="85"/>
      <c r="M29" s="85"/>
      <c r="N29" s="85"/>
      <c r="O29" s="85"/>
      <c r="P29" s="85"/>
      <c r="Q29" s="85"/>
      <c r="R29" s="85"/>
      <c r="S29" s="85"/>
      <c r="T29" s="85"/>
      <c r="U29" s="85"/>
      <c r="V29" s="85"/>
    </row>
    <row r="30" spans="2:22" s="99" customFormat="1">
      <c r="B30" s="132"/>
      <c r="C30" s="137"/>
      <c r="D30" s="138"/>
      <c r="E30" s="139"/>
      <c r="F30" s="140"/>
      <c r="G30" s="141"/>
      <c r="H30" s="142"/>
      <c r="I30" s="85"/>
      <c r="J30" s="136"/>
      <c r="K30" s="85"/>
      <c r="L30" s="85"/>
      <c r="M30" s="85"/>
      <c r="N30" s="85"/>
      <c r="O30" s="85"/>
      <c r="P30" s="85"/>
      <c r="Q30" s="85"/>
      <c r="R30" s="85"/>
      <c r="S30" s="85"/>
      <c r="T30" s="85"/>
      <c r="U30" s="85"/>
      <c r="V30" s="85"/>
    </row>
    <row r="31" spans="2:22" s="99" customFormat="1">
      <c r="B31" s="129" t="s">
        <v>107</v>
      </c>
      <c r="C31" s="130"/>
      <c r="D31" s="138"/>
      <c r="E31" s="139"/>
      <c r="F31" s="140"/>
      <c r="G31" s="141"/>
      <c r="H31" s="142"/>
      <c r="I31" s="85"/>
      <c r="J31" s="85"/>
      <c r="K31" s="85"/>
      <c r="L31" s="85"/>
      <c r="M31" s="85"/>
      <c r="N31" s="85"/>
      <c r="O31" s="85"/>
      <c r="P31" s="85"/>
      <c r="Q31" s="85"/>
      <c r="R31" s="85"/>
      <c r="S31" s="85"/>
      <c r="T31" s="85"/>
      <c r="U31" s="85"/>
      <c r="V31" s="85"/>
    </row>
    <row r="32" spans="2:22" s="99" customFormat="1">
      <c r="B32" s="132" t="s">
        <v>68</v>
      </c>
      <c r="C32" s="143">
        <f>SUM(C34:C45)</f>
        <v>0</v>
      </c>
      <c r="D32" s="143">
        <f>SUM(D34:D45)</f>
        <v>0</v>
      </c>
      <c r="E32" s="139"/>
      <c r="F32" s="140"/>
      <c r="G32" s="141"/>
      <c r="H32" s="142"/>
      <c r="I32" s="85"/>
      <c r="J32" s="85"/>
      <c r="K32" s="85"/>
      <c r="L32" s="85"/>
      <c r="M32" s="85"/>
      <c r="N32" s="85"/>
      <c r="O32" s="85"/>
      <c r="P32" s="85"/>
      <c r="Q32" s="85"/>
      <c r="R32" s="85"/>
      <c r="S32" s="85"/>
      <c r="T32" s="85"/>
      <c r="U32" s="85"/>
      <c r="V32" s="85"/>
    </row>
    <row r="33" spans="2:22" s="99" customFormat="1" ht="15" customHeight="1">
      <c r="B33" s="352"/>
      <c r="C33" s="353"/>
      <c r="D33" s="354"/>
      <c r="E33" s="355"/>
      <c r="F33" s="204"/>
      <c r="G33" s="356"/>
      <c r="H33" s="142"/>
      <c r="I33" s="85"/>
      <c r="J33" s="85"/>
      <c r="K33" s="85"/>
      <c r="L33" s="85"/>
      <c r="M33" s="85"/>
      <c r="N33" s="85"/>
      <c r="O33" s="85"/>
      <c r="P33" s="85"/>
      <c r="Q33" s="85"/>
      <c r="R33" s="85"/>
      <c r="S33" s="85"/>
      <c r="T33" s="85"/>
      <c r="U33" s="85"/>
      <c r="V33" s="85"/>
    </row>
    <row r="34" spans="2:22" s="99" customFormat="1">
      <c r="B34" s="144" t="s">
        <v>108</v>
      </c>
      <c r="C34" s="145"/>
      <c r="D34" s="146"/>
      <c r="E34" s="147"/>
      <c r="F34" s="128"/>
      <c r="G34" s="4"/>
      <c r="H34" s="84"/>
      <c r="I34" s="85"/>
      <c r="J34" s="85"/>
      <c r="K34" s="85"/>
      <c r="L34" s="85"/>
      <c r="M34" s="85"/>
      <c r="N34" s="85"/>
      <c r="O34" s="85"/>
      <c r="P34" s="85"/>
      <c r="Q34" s="85"/>
      <c r="R34" s="85"/>
      <c r="S34" s="85"/>
      <c r="T34" s="85"/>
      <c r="U34" s="85"/>
      <c r="V34" s="85"/>
    </row>
    <row r="35" spans="2:22" s="99" customFormat="1">
      <c r="B35" s="148" t="s">
        <v>109</v>
      </c>
      <c r="C35" s="133">
        <f>($E35/10000)/100*C$22</f>
        <v>0</v>
      </c>
      <c r="D35" s="133">
        <f>($E35/10000)/100*D$22</f>
        <v>0</v>
      </c>
      <c r="E35" s="149">
        <f>((2.81*(1-0.0025))+((2.77/2)*(1-0.0975))+((2.5/2)*(1-0.0481)))/3</f>
        <v>1.7476041666666664</v>
      </c>
      <c r="F35" s="100" t="s">
        <v>110</v>
      </c>
      <c r="G35" s="453" t="s">
        <v>132</v>
      </c>
      <c r="H35" s="84"/>
      <c r="I35" s="85"/>
      <c r="J35" s="85"/>
      <c r="K35" s="85"/>
      <c r="L35" s="85"/>
      <c r="M35" s="85"/>
      <c r="N35" s="85"/>
      <c r="O35" s="85"/>
      <c r="P35" s="85"/>
      <c r="Q35" s="85"/>
      <c r="R35" s="85"/>
      <c r="S35" s="85"/>
      <c r="T35" s="85"/>
      <c r="U35" s="85"/>
      <c r="V35" s="85"/>
    </row>
    <row r="36" spans="2:22" s="99" customFormat="1" ht="12.75" customHeight="1">
      <c r="B36" s="148" t="s">
        <v>112</v>
      </c>
      <c r="C36" s="133">
        <f t="shared" ref="C36:D45" si="2">($E36/10000)/100*C$22</f>
        <v>0</v>
      </c>
      <c r="D36" s="133">
        <f t="shared" si="2"/>
        <v>0</v>
      </c>
      <c r="E36" s="149">
        <f>(((2.31/2)*(1-0.0025))+((2.77/2)*(1-0.0975))+((2.5/2)*(1-0.0481)))/3</f>
        <v>1.1973166666666666</v>
      </c>
      <c r="F36" s="100" t="s">
        <v>110</v>
      </c>
      <c r="G36" s="453"/>
      <c r="H36" s="84"/>
      <c r="I36" s="85"/>
      <c r="J36" s="85"/>
      <c r="K36" s="85"/>
      <c r="L36" s="85"/>
      <c r="M36" s="85"/>
      <c r="N36" s="85"/>
      <c r="O36" s="85"/>
      <c r="P36" s="85"/>
      <c r="Q36" s="85"/>
      <c r="R36" s="85"/>
      <c r="S36" s="85"/>
      <c r="T36" s="85"/>
      <c r="U36" s="85"/>
      <c r="V36" s="85"/>
    </row>
    <row r="37" spans="2:22" s="99" customFormat="1">
      <c r="B37" s="148" t="s">
        <v>113</v>
      </c>
      <c r="C37" s="133">
        <f t="shared" si="2"/>
        <v>0</v>
      </c>
      <c r="D37" s="133">
        <f t="shared" si="2"/>
        <v>0</v>
      </c>
      <c r="E37" s="149">
        <f>11.7*(1-0.0481)</f>
        <v>11.137229999999999</v>
      </c>
      <c r="F37" s="100" t="s">
        <v>110</v>
      </c>
      <c r="G37" s="453"/>
      <c r="H37" s="84"/>
      <c r="I37" s="85"/>
      <c r="J37" s="85"/>
      <c r="K37" s="85"/>
      <c r="L37" s="85"/>
      <c r="M37" s="85"/>
      <c r="N37" s="85"/>
      <c r="O37" s="85"/>
      <c r="P37" s="85"/>
      <c r="Q37" s="85"/>
      <c r="R37" s="85"/>
      <c r="S37" s="85"/>
      <c r="T37" s="85"/>
      <c r="U37" s="85"/>
      <c r="V37" s="85"/>
    </row>
    <row r="38" spans="2:22" s="99" customFormat="1">
      <c r="B38" s="148" t="s">
        <v>114</v>
      </c>
      <c r="C38" s="133">
        <f t="shared" si="2"/>
        <v>0</v>
      </c>
      <c r="D38" s="133">
        <f t="shared" si="2"/>
        <v>0</v>
      </c>
      <c r="E38" s="149">
        <f>(((2.31/2)*(1-0.0025))+((2.5/2)*(1-0.0481)))/2</f>
        <v>1.1709937500000001</v>
      </c>
      <c r="F38" s="100" t="s">
        <v>110</v>
      </c>
      <c r="G38" s="453"/>
      <c r="H38" s="84"/>
      <c r="I38" s="85"/>
      <c r="J38" s="85"/>
      <c r="K38" s="85"/>
      <c r="L38" s="85"/>
      <c r="M38" s="85"/>
      <c r="N38" s="85"/>
      <c r="O38" s="85"/>
      <c r="P38" s="85"/>
      <c r="Q38" s="85"/>
      <c r="R38" s="85"/>
      <c r="S38" s="85"/>
      <c r="T38" s="85"/>
      <c r="U38" s="85"/>
      <c r="V38" s="85"/>
    </row>
    <row r="39" spans="2:22" s="99" customFormat="1">
      <c r="B39" s="148" t="s">
        <v>115</v>
      </c>
      <c r="C39" s="133">
        <f t="shared" si="2"/>
        <v>0</v>
      </c>
      <c r="D39" s="133">
        <f t="shared" si="2"/>
        <v>0</v>
      </c>
      <c r="E39" s="149">
        <f>((36.8*(1-0.0025))+(21*(1-0.0975))+(10.3*(1-0.0481)))/3</f>
        <v>21.82169</v>
      </c>
      <c r="F39" s="100" t="s">
        <v>110</v>
      </c>
      <c r="G39" s="453"/>
      <c r="H39" s="84"/>
      <c r="I39" s="85"/>
      <c r="J39" s="85"/>
      <c r="K39" s="85"/>
      <c r="L39" s="85"/>
      <c r="M39" s="85"/>
      <c r="N39" s="85"/>
      <c r="O39" s="85"/>
      <c r="P39" s="85"/>
      <c r="Q39" s="85"/>
      <c r="R39" s="85"/>
      <c r="S39" s="85"/>
      <c r="T39" s="85"/>
      <c r="U39" s="85"/>
      <c r="V39" s="85"/>
    </row>
    <row r="40" spans="2:22" s="99" customFormat="1">
      <c r="B40" s="148" t="s">
        <v>116</v>
      </c>
      <c r="C40" s="133">
        <f t="shared" si="2"/>
        <v>0</v>
      </c>
      <c r="D40" s="133">
        <f t="shared" si="2"/>
        <v>0</v>
      </c>
      <c r="E40" s="149">
        <f>(((2.31/2)*(1-0.0025))+((2.5/2)*(1-0.0481)))/2</f>
        <v>1.1709937500000001</v>
      </c>
      <c r="F40" s="100" t="s">
        <v>110</v>
      </c>
      <c r="G40" s="453"/>
      <c r="H40" s="84"/>
      <c r="I40" s="85"/>
      <c r="J40" s="85"/>
      <c r="K40" s="85"/>
      <c r="L40" s="85"/>
      <c r="M40" s="85"/>
      <c r="N40" s="85"/>
      <c r="O40" s="85"/>
      <c r="P40" s="85"/>
      <c r="Q40" s="85"/>
      <c r="R40" s="85"/>
      <c r="S40" s="85"/>
      <c r="T40" s="85"/>
      <c r="U40" s="85"/>
      <c r="V40" s="85"/>
    </row>
    <row r="41" spans="2:22" s="99" customFormat="1">
      <c r="B41" s="148" t="s">
        <v>24</v>
      </c>
      <c r="C41" s="133">
        <f t="shared" si="2"/>
        <v>0</v>
      </c>
      <c r="D41" s="133">
        <f t="shared" si="2"/>
        <v>0</v>
      </c>
      <c r="E41" s="149">
        <f>((5.49*(1-0.0025))+(19.8*(1-0.0975))+(9.62*(1-0.0481)))/3</f>
        <v>10.834351</v>
      </c>
      <c r="F41" s="100" t="s">
        <v>110</v>
      </c>
      <c r="G41" s="453"/>
      <c r="H41" s="84"/>
      <c r="I41" s="85"/>
      <c r="J41" s="85"/>
      <c r="K41" s="85"/>
      <c r="L41" s="85"/>
      <c r="M41" s="85"/>
      <c r="N41" s="85"/>
      <c r="O41" s="85"/>
      <c r="P41" s="85"/>
      <c r="Q41" s="85"/>
      <c r="R41" s="85"/>
      <c r="S41" s="85"/>
      <c r="T41" s="85"/>
      <c r="U41" s="85"/>
      <c r="V41" s="85"/>
    </row>
    <row r="42" spans="2:22" s="99" customFormat="1">
      <c r="B42" s="148" t="s">
        <v>117</v>
      </c>
      <c r="C42" s="133">
        <f t="shared" si="2"/>
        <v>0</v>
      </c>
      <c r="D42" s="133">
        <f t="shared" si="2"/>
        <v>0</v>
      </c>
      <c r="E42" s="149">
        <f>((1350*(1-0.0025))+(5690*(1-0.0975))+(1530*(1-0.0481)))/3</f>
        <v>2646.0856666666664</v>
      </c>
      <c r="F42" s="100" t="s">
        <v>110</v>
      </c>
      <c r="G42" s="453"/>
      <c r="H42" s="84"/>
      <c r="I42" s="85"/>
      <c r="J42" s="85"/>
      <c r="K42" s="85"/>
      <c r="L42" s="85"/>
      <c r="M42" s="85"/>
      <c r="N42" s="85"/>
      <c r="O42" s="85"/>
      <c r="P42" s="85"/>
      <c r="Q42" s="85"/>
      <c r="R42" s="85"/>
      <c r="S42" s="85"/>
      <c r="T42" s="85"/>
      <c r="U42" s="85"/>
      <c r="V42" s="85"/>
    </row>
    <row r="43" spans="2:22" s="99" customFormat="1">
      <c r="B43" s="148" t="s">
        <v>118</v>
      </c>
      <c r="C43" s="133">
        <f t="shared" si="2"/>
        <v>0</v>
      </c>
      <c r="D43" s="133">
        <f t="shared" si="2"/>
        <v>0</v>
      </c>
      <c r="E43" s="149">
        <f>(((0.00489/2)*(1-0.0025))+((0.00548/2)*(1-0.0975))+((0.0026/2)*(1-0.0481)))/3</f>
        <v>2.0497358333333338E-3</v>
      </c>
      <c r="F43" s="100" t="s">
        <v>110</v>
      </c>
      <c r="G43" s="453"/>
      <c r="H43" s="84"/>
      <c r="I43" s="85"/>
      <c r="J43" s="85"/>
      <c r="K43" s="85"/>
      <c r="L43" s="85"/>
      <c r="M43" s="85"/>
      <c r="N43" s="85"/>
      <c r="O43" s="85"/>
      <c r="P43" s="85"/>
      <c r="Q43" s="85"/>
      <c r="R43" s="85"/>
      <c r="S43" s="85"/>
      <c r="T43" s="85"/>
      <c r="U43" s="85"/>
      <c r="V43" s="85"/>
    </row>
    <row r="44" spans="2:22" s="99" customFormat="1">
      <c r="B44" s="148" t="s">
        <v>119</v>
      </c>
      <c r="C44" s="133">
        <f t="shared" si="2"/>
        <v>0</v>
      </c>
      <c r="D44" s="133">
        <f t="shared" si="2"/>
        <v>0</v>
      </c>
      <c r="E44" s="149">
        <f>((3.07*(1-0.0025))+((2.77/2)*(1-0.0975))+(9.07*(1-0.0481)))/3</f>
        <v>4.3153401666666662</v>
      </c>
      <c r="F44" s="100" t="s">
        <v>110</v>
      </c>
      <c r="G44" s="453"/>
      <c r="H44" s="84"/>
      <c r="I44" s="85"/>
      <c r="J44" s="85"/>
      <c r="K44" s="85"/>
      <c r="L44" s="85"/>
      <c r="M44" s="85"/>
      <c r="N44" s="85"/>
      <c r="O44" s="85"/>
      <c r="P44" s="85"/>
      <c r="Q44" s="85"/>
      <c r="R44" s="85"/>
      <c r="S44" s="85"/>
      <c r="T44" s="85"/>
      <c r="U44" s="85"/>
      <c r="V44" s="85"/>
    </row>
    <row r="45" spans="2:22" s="99" customFormat="1">
      <c r="B45" s="148" t="s">
        <v>120</v>
      </c>
      <c r="C45" s="133">
        <f t="shared" si="2"/>
        <v>0</v>
      </c>
      <c r="D45" s="133">
        <f t="shared" si="2"/>
        <v>0</v>
      </c>
      <c r="E45" s="149">
        <f>(((2.31/2)*(1-0.0025))+((2.5/2)*(1-0.0481)))/2</f>
        <v>1.1709937500000001</v>
      </c>
      <c r="F45" s="100" t="s">
        <v>110</v>
      </c>
      <c r="G45" s="453"/>
      <c r="H45" s="84"/>
      <c r="I45" s="85"/>
      <c r="J45" s="85"/>
      <c r="K45" s="85"/>
      <c r="L45" s="85"/>
      <c r="M45" s="85"/>
      <c r="N45" s="85"/>
      <c r="O45" s="85"/>
      <c r="P45" s="85"/>
      <c r="Q45" s="85"/>
      <c r="R45" s="85"/>
      <c r="S45" s="85"/>
      <c r="T45" s="85"/>
      <c r="U45" s="85"/>
      <c r="V45" s="85"/>
    </row>
    <row r="46" spans="2:22" s="99" customFormat="1">
      <c r="B46" s="148"/>
      <c r="C46" s="143"/>
      <c r="D46" s="143"/>
      <c r="E46" s="149"/>
      <c r="F46" s="100"/>
      <c r="G46" s="5"/>
      <c r="H46" s="84"/>
      <c r="I46" s="85"/>
      <c r="J46" s="85"/>
      <c r="K46" s="85"/>
      <c r="L46" s="85"/>
      <c r="M46" s="85"/>
      <c r="N46" s="85"/>
      <c r="O46" s="85"/>
      <c r="P46" s="85"/>
      <c r="Q46" s="85"/>
      <c r="R46" s="85"/>
      <c r="S46" s="85"/>
      <c r="T46" s="85"/>
      <c r="U46" s="85"/>
      <c r="V46" s="85"/>
    </row>
    <row r="47" spans="2:22" s="99" customFormat="1">
      <c r="B47" s="197" t="s">
        <v>121</v>
      </c>
      <c r="C47" s="146"/>
      <c r="D47" s="146"/>
      <c r="E47" s="147"/>
      <c r="F47" s="198"/>
      <c r="G47" s="199"/>
      <c r="H47" s="84"/>
      <c r="I47" s="85"/>
      <c r="J47" s="85"/>
      <c r="K47" s="85"/>
      <c r="L47" s="85"/>
      <c r="M47" s="85"/>
      <c r="N47" s="85"/>
      <c r="O47" s="85"/>
      <c r="P47" s="85"/>
      <c r="Q47" s="85"/>
      <c r="R47" s="85"/>
      <c r="S47" s="85"/>
      <c r="T47" s="85"/>
      <c r="U47" s="85"/>
      <c r="V47" s="85"/>
    </row>
    <row r="48" spans="2:22" s="99" customFormat="1" ht="81">
      <c r="B48" s="150" t="s">
        <v>122</v>
      </c>
      <c r="C48" s="200">
        <f>$C$11*E48</f>
        <v>0</v>
      </c>
      <c r="D48" s="201">
        <f>E48*$C$12/2000</f>
        <v>0</v>
      </c>
      <c r="E48" s="204">
        <f>'8a. Baseline Em_Report'!C37</f>
        <v>0.21</v>
      </c>
      <c r="F48" s="153" t="s">
        <v>95</v>
      </c>
      <c r="G48" s="202" t="s">
        <v>133</v>
      </c>
      <c r="H48" s="84"/>
      <c r="I48" s="85"/>
      <c r="J48" s="85"/>
      <c r="K48" s="85"/>
      <c r="L48" s="85"/>
      <c r="M48" s="85"/>
      <c r="N48" s="85"/>
      <c r="O48" s="85"/>
      <c r="P48" s="85"/>
      <c r="Q48" s="85"/>
      <c r="R48" s="85"/>
      <c r="S48" s="85"/>
      <c r="T48" s="85"/>
      <c r="U48" s="85"/>
      <c r="V48" s="85"/>
    </row>
    <row r="49" spans="2:22" s="99" customFormat="1" ht="3.75" customHeight="1">
      <c r="B49" s="203"/>
      <c r="C49" s="203"/>
      <c r="D49" s="143"/>
      <c r="E49" s="149"/>
      <c r="F49" s="100"/>
      <c r="G49" s="100"/>
      <c r="H49" s="84"/>
      <c r="I49" s="85"/>
      <c r="J49" s="85"/>
      <c r="K49" s="85"/>
      <c r="L49" s="85"/>
      <c r="M49" s="85"/>
      <c r="N49" s="85"/>
      <c r="O49" s="85"/>
      <c r="P49" s="85"/>
      <c r="Q49" s="85"/>
      <c r="R49" s="85"/>
      <c r="S49" s="85"/>
      <c r="T49" s="85"/>
      <c r="U49" s="85"/>
      <c r="V49" s="85"/>
    </row>
    <row r="50" spans="2:22">
      <c r="B50" s="82" t="s">
        <v>134</v>
      </c>
      <c r="C50" s="348"/>
      <c r="D50" s="348"/>
      <c r="E50" s="348"/>
      <c r="F50" s="348"/>
      <c r="G50" s="348"/>
    </row>
    <row r="51" spans="2:22" ht="15.75">
      <c r="B51" s="82" t="s">
        <v>135</v>
      </c>
      <c r="C51" s="349">
        <f>SUM('8a. Baseline Em_Report'!I10:I33)</f>
        <v>33.196286042255203</v>
      </c>
      <c r="D51" s="348" t="s">
        <v>136</v>
      </c>
      <c r="E51" s="348"/>
      <c r="F51" s="348"/>
      <c r="G51" s="348"/>
    </row>
    <row r="52" spans="2:22">
      <c r="B52" s="82" t="s">
        <v>137</v>
      </c>
      <c r="C52" s="350">
        <f>SUM('8a. Baseline Em_Report'!G10:G33)</f>
        <v>974472.45030821464</v>
      </c>
      <c r="D52" s="348" t="s">
        <v>136</v>
      </c>
      <c r="E52" s="348"/>
      <c r="F52" s="348"/>
      <c r="G52" s="348"/>
    </row>
    <row r="53" spans="2:22" ht="15.75">
      <c r="B53" s="82" t="s">
        <v>138</v>
      </c>
      <c r="C53" s="349">
        <f>C51*2000/C52</f>
        <v>6.8131810256422523E-2</v>
      </c>
      <c r="D53" s="348" t="s">
        <v>139</v>
      </c>
      <c r="E53" s="348"/>
      <c r="F53" s="348"/>
      <c r="G53" s="348"/>
    </row>
    <row r="54" spans="2:22" ht="27" customHeight="1"/>
    <row r="57" spans="2:22">
      <c r="I57" s="81"/>
    </row>
  </sheetData>
  <mergeCells count="3">
    <mergeCell ref="G35:G45"/>
    <mergeCell ref="G26:G28"/>
    <mergeCell ref="G22:G24"/>
  </mergeCells>
  <conditionalFormatting sqref="C22:E29 F30:H33">
    <cfRule type="cellIs" dxfId="10" priority="1" operator="lessThan">
      <formula>0.005</formula>
    </cfRule>
  </conditionalFormatting>
  <conditionalFormatting sqref="D30:E34 C32">
    <cfRule type="cellIs" dxfId="9" priority="5" operator="lessThan">
      <formula>0.005</formula>
    </cfRule>
  </conditionalFormatting>
  <conditionalFormatting sqref="E35:E45 C46:E48 D49:E49">
    <cfRule type="cellIs" dxfId="8" priority="3" operator="lessThan">
      <formula>0.005</formula>
    </cfRule>
  </conditionalFormatting>
  <pageMargins left="0.7" right="0.7" top="0.75" bottom="0.75" header="0.3" footer="0.3"/>
  <pageSetup scale="59" orientation="landscape" r:id="rId1"/>
  <rowBreaks count="1" manualBreakCount="1">
    <brk id="33" min="1" max="6"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04FD8-BF89-4D7A-9257-402D506D585E}">
  <sheetPr>
    <tabColor rgb="FF92D050"/>
    <pageSetUpPr fitToPage="1"/>
  </sheetPr>
  <dimension ref="B1:W56"/>
  <sheetViews>
    <sheetView topLeftCell="H27" zoomScale="150" zoomScaleNormal="150" zoomScaleSheetLayoutView="140" workbookViewId="0">
      <selection activeCell="L46" sqref="L46"/>
    </sheetView>
  </sheetViews>
  <sheetFormatPr defaultColWidth="9.140625" defaultRowHeight="12.75"/>
  <cols>
    <col min="1" max="1" width="2.7109375" style="82" customWidth="1"/>
    <col min="2" max="2" width="35.7109375" style="82" customWidth="1"/>
    <col min="3" max="7" width="16.7109375" style="82" customWidth="1"/>
    <col min="8" max="8" width="20.85546875" style="83" customWidth="1"/>
    <col min="9" max="9" width="14" style="84" bestFit="1" customWidth="1"/>
    <col min="10" max="10" width="8" style="85" bestFit="1" customWidth="1"/>
    <col min="11" max="11" width="11.140625" style="85" customWidth="1"/>
    <col min="12" max="13" width="9.140625" style="85"/>
    <col min="14" max="14" width="12.7109375" style="85" customWidth="1"/>
    <col min="15" max="23" width="9.140625" style="85"/>
    <col min="24" max="16384" width="9.140625" style="82"/>
  </cols>
  <sheetData>
    <row r="1" spans="2:23">
      <c r="B1" s="81"/>
    </row>
    <row r="3" spans="2:23" s="86" customFormat="1">
      <c r="B3" s="6" t="s">
        <v>0</v>
      </c>
      <c r="C3" s="7" t="str">
        <f>'1. Step 1 Evaluation'!C2</f>
        <v>U. S. Steel</v>
      </c>
      <c r="H3" s="87"/>
      <c r="I3" s="3"/>
      <c r="J3" s="89"/>
      <c r="K3" s="89"/>
      <c r="L3" s="89"/>
      <c r="M3" s="89"/>
      <c r="N3" s="89"/>
      <c r="O3" s="89"/>
      <c r="P3" s="89"/>
      <c r="Q3" s="89"/>
      <c r="R3" s="89"/>
      <c r="S3" s="89"/>
      <c r="T3" s="89"/>
      <c r="U3" s="89"/>
      <c r="V3" s="89"/>
      <c r="W3" s="89"/>
    </row>
    <row r="4" spans="2:23" s="86" customFormat="1">
      <c r="B4" s="6" t="s">
        <v>2</v>
      </c>
      <c r="C4" s="7" t="str">
        <f>'1. Step 1 Evaluation'!C3</f>
        <v>Edgar Thomson Plant</v>
      </c>
      <c r="H4" s="90"/>
      <c r="I4" s="91"/>
      <c r="J4" s="89"/>
      <c r="K4" s="89"/>
      <c r="L4" s="89"/>
      <c r="M4" s="89"/>
      <c r="N4" s="89"/>
      <c r="O4" s="89"/>
      <c r="P4" s="89"/>
      <c r="Q4" s="89"/>
      <c r="R4" s="89"/>
      <c r="S4" s="89"/>
      <c r="T4" s="89"/>
      <c r="U4" s="89"/>
      <c r="V4" s="89"/>
      <c r="W4" s="89"/>
    </row>
    <row r="5" spans="2:23" s="86" customFormat="1">
      <c r="B5" s="6" t="s">
        <v>4</v>
      </c>
      <c r="C5" s="7" t="str">
        <f>'1. Step 1 Evaluation'!C4</f>
        <v>Slag Recycler Project</v>
      </c>
      <c r="H5" s="87"/>
      <c r="I5" s="91"/>
      <c r="J5" s="89"/>
      <c r="K5" s="89"/>
      <c r="L5" s="89"/>
      <c r="M5" s="89"/>
      <c r="N5" s="89"/>
      <c r="O5" s="89"/>
      <c r="P5" s="89"/>
      <c r="Q5" s="89"/>
      <c r="R5" s="89"/>
      <c r="S5" s="89"/>
      <c r="T5" s="89"/>
      <c r="U5" s="89"/>
      <c r="V5" s="89"/>
      <c r="W5" s="89"/>
    </row>
    <row r="6" spans="2:23" s="86" customFormat="1">
      <c r="B6" s="6"/>
      <c r="C6" s="92"/>
      <c r="H6" s="87"/>
      <c r="I6" s="91"/>
      <c r="J6" s="89"/>
      <c r="K6" s="89"/>
      <c r="L6" s="89"/>
      <c r="M6" s="89"/>
      <c r="N6" s="89"/>
      <c r="O6" s="89"/>
      <c r="P6" s="89"/>
      <c r="Q6" s="89"/>
      <c r="R6" s="89"/>
      <c r="S6" s="89"/>
      <c r="T6" s="89"/>
      <c r="U6" s="89"/>
      <c r="V6" s="89"/>
      <c r="W6" s="89"/>
    </row>
    <row r="7" spans="2:23" s="96" customFormat="1" ht="13.15" customHeight="1">
      <c r="B7" s="38" t="s">
        <v>140</v>
      </c>
      <c r="C7" s="38"/>
      <c r="D7" s="86"/>
      <c r="E7" s="86"/>
      <c r="F7" s="86"/>
      <c r="G7" s="86"/>
      <c r="H7" s="93"/>
      <c r="I7" s="94"/>
      <c r="J7" s="95"/>
      <c r="K7" s="95"/>
      <c r="L7" s="95"/>
      <c r="M7" s="95"/>
      <c r="N7" s="95"/>
      <c r="O7" s="95"/>
      <c r="P7" s="95"/>
      <c r="Q7" s="95"/>
      <c r="R7" s="95"/>
      <c r="S7" s="95"/>
      <c r="T7" s="95"/>
      <c r="U7" s="95"/>
      <c r="V7" s="95"/>
      <c r="W7" s="95"/>
    </row>
    <row r="8" spans="2:23" s="99" customFormat="1">
      <c r="B8" s="97"/>
      <c r="C8" s="97"/>
      <c r="D8" s="98"/>
      <c r="E8" s="98"/>
      <c r="H8" s="100"/>
      <c r="I8" s="84"/>
      <c r="J8" s="85"/>
      <c r="K8" s="85"/>
      <c r="L8" s="85"/>
      <c r="M8" s="85"/>
      <c r="N8" s="85"/>
      <c r="O8" s="85"/>
      <c r="P8" s="85"/>
      <c r="Q8" s="85"/>
      <c r="R8" s="85"/>
      <c r="S8" s="85"/>
      <c r="T8" s="85"/>
      <c r="U8" s="85"/>
      <c r="V8" s="85"/>
      <c r="W8" s="85"/>
    </row>
    <row r="9" spans="2:23" s="103" customFormat="1">
      <c r="B9" s="101" t="s">
        <v>75</v>
      </c>
      <c r="C9" s="102" t="s">
        <v>141</v>
      </c>
      <c r="D9" s="102"/>
      <c r="E9" s="102"/>
      <c r="F9" s="102"/>
      <c r="I9" s="104"/>
      <c r="J9" s="105"/>
      <c r="K9" s="106"/>
      <c r="L9" s="106"/>
      <c r="M9" s="106"/>
      <c r="N9" s="106"/>
      <c r="O9" s="106"/>
      <c r="P9" s="106"/>
      <c r="Q9" s="106"/>
      <c r="R9" s="106"/>
      <c r="S9" s="106"/>
      <c r="T9" s="106"/>
      <c r="U9" s="106"/>
      <c r="V9" s="106"/>
      <c r="W9" s="106"/>
    </row>
    <row r="10" spans="2:23" s="103" customFormat="1">
      <c r="B10" s="107"/>
      <c r="C10" s="107"/>
      <c r="D10" s="107"/>
      <c r="E10" s="107"/>
      <c r="F10" s="102"/>
      <c r="I10" s="106"/>
      <c r="J10" s="105"/>
      <c r="K10" s="106"/>
      <c r="L10" s="106"/>
      <c r="M10" s="106"/>
      <c r="N10" s="106"/>
      <c r="O10" s="106"/>
      <c r="P10" s="106"/>
      <c r="Q10" s="106"/>
      <c r="R10" s="106"/>
      <c r="S10" s="106"/>
      <c r="T10" s="106"/>
      <c r="U10" s="106"/>
      <c r="V10" s="106"/>
      <c r="W10" s="106"/>
    </row>
    <row r="11" spans="2:23" s="99" customFormat="1">
      <c r="B11" s="108" t="s">
        <v>83</v>
      </c>
      <c r="C11" s="109">
        <f>'4. Slag Gran_New'!C15</f>
        <v>1593.3287671232877</v>
      </c>
      <c r="D11" s="110" t="s">
        <v>84</v>
      </c>
      <c r="E11" s="110"/>
      <c r="H11" s="111"/>
      <c r="I11" s="112"/>
      <c r="J11" s="85"/>
      <c r="K11" s="85"/>
      <c r="L11" s="85"/>
      <c r="M11" s="85"/>
      <c r="N11" s="85"/>
      <c r="O11" s="85"/>
      <c r="P11" s="85"/>
      <c r="Q11" s="85"/>
      <c r="R11" s="85"/>
      <c r="S11" s="85"/>
      <c r="T11" s="85"/>
      <c r="U11" s="85"/>
      <c r="V11" s="85"/>
      <c r="W11" s="85"/>
    </row>
    <row r="12" spans="2:23" s="99" customFormat="1">
      <c r="B12" s="108" t="s">
        <v>85</v>
      </c>
      <c r="C12" s="109">
        <f>'4. Slag Gran_New'!C16</f>
        <v>581565</v>
      </c>
      <c r="D12" s="110" t="s">
        <v>80</v>
      </c>
      <c r="E12" s="110"/>
      <c r="H12" s="111"/>
      <c r="I12" s="113"/>
      <c r="J12" s="84"/>
      <c r="K12" s="85"/>
      <c r="L12" s="85"/>
      <c r="M12" s="85"/>
      <c r="N12" s="85"/>
      <c r="O12" s="85"/>
      <c r="P12" s="85"/>
      <c r="Q12" s="85"/>
      <c r="R12" s="85"/>
      <c r="S12" s="85"/>
      <c r="T12" s="85"/>
      <c r="U12" s="85"/>
      <c r="V12" s="85"/>
      <c r="W12" s="85"/>
    </row>
    <row r="13" spans="2:23" s="99" customFormat="1">
      <c r="B13" s="108" t="s">
        <v>142</v>
      </c>
      <c r="C13" s="109">
        <v>4</v>
      </c>
      <c r="D13" s="110" t="s">
        <v>143</v>
      </c>
      <c r="E13" s="110"/>
      <c r="H13" s="111"/>
      <c r="I13" s="112"/>
      <c r="J13" s="84"/>
      <c r="K13" s="85"/>
      <c r="L13" s="85"/>
      <c r="M13" s="85"/>
      <c r="N13" s="85"/>
      <c r="O13" s="85"/>
      <c r="P13" s="85"/>
      <c r="Q13" s="85"/>
      <c r="R13" s="85"/>
      <c r="S13" s="85"/>
      <c r="T13" s="85"/>
      <c r="U13" s="85"/>
      <c r="V13" s="85"/>
      <c r="W13" s="85"/>
    </row>
    <row r="14" spans="2:23" s="99" customFormat="1">
      <c r="B14" s="114"/>
      <c r="C14" s="115"/>
      <c r="D14" s="110"/>
      <c r="E14" s="110"/>
      <c r="H14" s="111"/>
      <c r="I14" s="112"/>
      <c r="J14" s="85"/>
      <c r="K14" s="85"/>
      <c r="L14" s="85"/>
      <c r="M14" s="85"/>
      <c r="N14" s="85"/>
      <c r="O14" s="85"/>
      <c r="P14" s="85"/>
      <c r="Q14" s="85"/>
      <c r="R14" s="85"/>
      <c r="S14" s="85"/>
      <c r="T14" s="85"/>
      <c r="U14" s="85"/>
      <c r="V14" s="85"/>
      <c r="W14" s="85"/>
    </row>
    <row r="15" spans="2:23" s="99" customFormat="1">
      <c r="B15" s="116" t="s">
        <v>86</v>
      </c>
      <c r="D15" s="110"/>
      <c r="E15" s="110"/>
      <c r="F15" s="110"/>
      <c r="G15" s="110"/>
      <c r="H15" s="100"/>
      <c r="I15" s="84"/>
      <c r="J15" s="85"/>
      <c r="K15" s="85"/>
      <c r="L15" s="117"/>
      <c r="M15" s="85"/>
      <c r="N15" s="85"/>
      <c r="O15" s="85"/>
      <c r="P15" s="85"/>
      <c r="Q15" s="85"/>
      <c r="R15" s="85"/>
      <c r="S15" s="85"/>
      <c r="T15" s="85"/>
      <c r="U15" s="85"/>
      <c r="V15" s="85"/>
      <c r="W15" s="85"/>
    </row>
    <row r="16" spans="2:23" s="99" customFormat="1" ht="3.75" customHeight="1">
      <c r="D16" s="98"/>
      <c r="E16" s="98"/>
      <c r="F16" s="98"/>
      <c r="H16" s="100"/>
      <c r="I16" s="84"/>
      <c r="J16" s="85"/>
      <c r="K16" s="85"/>
      <c r="L16" s="85"/>
      <c r="M16" s="85"/>
      <c r="N16" s="85"/>
      <c r="O16" s="85"/>
      <c r="P16" s="85"/>
      <c r="Q16" s="85"/>
      <c r="R16" s="85"/>
      <c r="S16" s="85"/>
      <c r="T16" s="85"/>
      <c r="U16" s="85"/>
      <c r="V16" s="85"/>
      <c r="W16" s="85"/>
    </row>
    <row r="17" spans="2:23" s="99" customFormat="1" ht="3.75" customHeight="1">
      <c r="B17" s="118"/>
      <c r="C17" s="119"/>
      <c r="D17" s="120"/>
      <c r="E17" s="120"/>
      <c r="F17" s="120"/>
      <c r="G17" s="119"/>
      <c r="H17" s="4"/>
      <c r="I17" s="84"/>
      <c r="J17" s="85"/>
      <c r="K17" s="85"/>
      <c r="L17" s="85"/>
      <c r="M17" s="85"/>
      <c r="N17" s="85"/>
      <c r="O17" s="85"/>
      <c r="P17" s="85"/>
      <c r="Q17" s="85"/>
      <c r="R17" s="85"/>
      <c r="S17" s="85"/>
      <c r="T17" s="85"/>
      <c r="U17" s="85"/>
      <c r="V17" s="85"/>
      <c r="W17" s="85"/>
    </row>
    <row r="18" spans="2:23" s="126" customFormat="1" ht="41.25" customHeight="1">
      <c r="B18" s="121" t="s">
        <v>128</v>
      </c>
      <c r="C18" s="122" t="s">
        <v>144</v>
      </c>
      <c r="D18" s="122" t="s">
        <v>145</v>
      </c>
      <c r="E18" s="122" t="s">
        <v>146</v>
      </c>
      <c r="F18" s="122" t="s">
        <v>147</v>
      </c>
      <c r="G18" s="122" t="s">
        <v>91</v>
      </c>
      <c r="H18" s="123" t="s">
        <v>92</v>
      </c>
      <c r="I18" s="124"/>
      <c r="J18" s="125"/>
      <c r="K18" s="125"/>
      <c r="L18" s="125"/>
      <c r="M18" s="125"/>
      <c r="N18" s="125"/>
      <c r="O18" s="125"/>
      <c r="P18" s="125"/>
      <c r="Q18" s="125"/>
      <c r="R18" s="125"/>
      <c r="S18" s="125"/>
      <c r="T18" s="125"/>
      <c r="U18" s="125"/>
      <c r="V18" s="125"/>
      <c r="W18" s="125"/>
    </row>
    <row r="19" spans="2:23" s="99" customFormat="1" ht="3.75" customHeight="1">
      <c r="B19" s="127"/>
      <c r="D19" s="421"/>
      <c r="E19" s="98"/>
      <c r="F19" s="425"/>
      <c r="G19" s="100"/>
      <c r="H19" s="431"/>
      <c r="I19" s="84"/>
      <c r="J19" s="136"/>
      <c r="K19" s="85"/>
      <c r="L19" s="136"/>
      <c r="M19" s="85"/>
      <c r="N19" s="136"/>
      <c r="O19" s="85"/>
      <c r="P19" s="136"/>
      <c r="Q19" s="85"/>
      <c r="R19" s="85"/>
      <c r="S19" s="85"/>
      <c r="T19" s="136"/>
      <c r="U19" s="85"/>
      <c r="V19" s="85"/>
      <c r="W19" s="85"/>
    </row>
    <row r="20" spans="2:23" s="99" customFormat="1" ht="3.75" customHeight="1">
      <c r="B20" s="118"/>
      <c r="C20" s="119"/>
      <c r="D20" s="120"/>
      <c r="E20" s="120"/>
      <c r="F20" s="128"/>
      <c r="G20" s="128"/>
      <c r="H20" s="4"/>
      <c r="I20" s="84"/>
      <c r="J20" s="85"/>
      <c r="K20" s="85"/>
      <c r="L20" s="85"/>
      <c r="M20" s="85"/>
      <c r="N20" s="85"/>
      <c r="O20" s="85"/>
      <c r="P20" s="85"/>
      <c r="Q20" s="85"/>
      <c r="R20" s="85"/>
      <c r="S20" s="85"/>
      <c r="T20" s="85"/>
      <c r="U20" s="85"/>
      <c r="V20" s="85"/>
      <c r="W20" s="85"/>
    </row>
    <row r="21" spans="2:23" s="99" customFormat="1">
      <c r="B21" s="129" t="s">
        <v>93</v>
      </c>
      <c r="C21" s="130"/>
      <c r="D21" s="131"/>
      <c r="E21" s="131"/>
      <c r="F21" s="131"/>
      <c r="H21" s="5"/>
      <c r="I21" s="84"/>
      <c r="J21" s="85"/>
      <c r="K21" s="85"/>
      <c r="L21" s="85"/>
      <c r="M21" s="85"/>
      <c r="N21" s="85"/>
      <c r="O21" s="85"/>
      <c r="P21" s="85"/>
      <c r="Q21" s="85"/>
      <c r="R21" s="85"/>
      <c r="S21" s="85"/>
      <c r="T21" s="85"/>
      <c r="U21" s="85"/>
      <c r="V21" s="85"/>
      <c r="W21" s="85"/>
    </row>
    <row r="22" spans="2:23" s="99" customFormat="1">
      <c r="B22" s="132" t="s">
        <v>94</v>
      </c>
      <c r="C22" s="133">
        <f>F22*($C$11/24)</f>
        <v>1.8086634747164557E-2</v>
      </c>
      <c r="D22" s="134">
        <f>F22*$C$12/2000</f>
        <v>7.9219460192580748E-2</v>
      </c>
      <c r="E22" s="134">
        <f>D22*$C$13</f>
        <v>0.31687784077032299</v>
      </c>
      <c r="F22" s="135">
        <f>E53</f>
        <v>2.724354463992185E-4</v>
      </c>
      <c r="G22" s="100" t="s">
        <v>139</v>
      </c>
      <c r="H22" s="5" t="s">
        <v>148</v>
      </c>
      <c r="I22" s="84"/>
      <c r="J22" s="85"/>
      <c r="K22" s="136"/>
      <c r="L22" s="136"/>
      <c r="M22" s="85"/>
      <c r="N22" s="85"/>
      <c r="O22" s="85"/>
      <c r="P22" s="85"/>
      <c r="Q22" s="85"/>
      <c r="R22" s="85"/>
      <c r="S22" s="85"/>
      <c r="T22" s="85"/>
      <c r="U22" s="85"/>
      <c r="V22" s="85"/>
      <c r="W22" s="85"/>
    </row>
    <row r="23" spans="2:23" s="99" customFormat="1" ht="15.75">
      <c r="B23" s="132" t="s">
        <v>97</v>
      </c>
      <c r="C23" s="133">
        <f>F23*($C$11/24)</f>
        <v>8.5544894074426944E-3</v>
      </c>
      <c r="D23" s="134">
        <f>F23*$C$12/2000</f>
        <v>3.7468663604599002E-2</v>
      </c>
      <c r="E23" s="134">
        <f t="shared" ref="E23:E24" si="0">D23*$C$13</f>
        <v>0.14987465441839601</v>
      </c>
      <c r="F23" s="135">
        <f>F53</f>
        <v>1.2885460302665739E-4</v>
      </c>
      <c r="G23" s="100" t="s">
        <v>139</v>
      </c>
      <c r="H23" s="5" t="s">
        <v>148</v>
      </c>
      <c r="I23" s="84"/>
      <c r="J23" s="85"/>
      <c r="K23" s="136"/>
      <c r="L23" s="85"/>
      <c r="M23" s="85"/>
      <c r="N23" s="85"/>
      <c r="O23" s="85"/>
      <c r="P23" s="85"/>
      <c r="Q23" s="85"/>
      <c r="R23" s="85"/>
      <c r="S23" s="85"/>
      <c r="T23" s="85"/>
      <c r="U23" s="85"/>
      <c r="V23" s="85"/>
      <c r="W23" s="85"/>
    </row>
    <row r="24" spans="2:23" s="99" customFormat="1" ht="15.75">
      <c r="B24" s="132" t="s">
        <v>98</v>
      </c>
      <c r="C24" s="133">
        <f>F24*($C$11/24)</f>
        <v>1.295394110269894E-3</v>
      </c>
      <c r="D24" s="134">
        <f>F24*$C$12/2000</f>
        <v>5.6738262029821362E-3</v>
      </c>
      <c r="E24" s="134">
        <f t="shared" si="0"/>
        <v>2.2695304811928545E-2</v>
      </c>
      <c r="F24" s="135">
        <f>G53</f>
        <v>1.9512268458322408E-5</v>
      </c>
      <c r="G24" s="100" t="s">
        <v>139</v>
      </c>
      <c r="H24" s="5" t="s">
        <v>148</v>
      </c>
      <c r="I24" s="84"/>
      <c r="J24" s="85"/>
      <c r="K24" s="136"/>
      <c r="L24" s="85"/>
      <c r="M24" s="85"/>
      <c r="N24" s="85"/>
      <c r="O24" s="85"/>
      <c r="P24" s="85"/>
      <c r="Q24" s="85"/>
      <c r="R24" s="85"/>
      <c r="S24" s="85"/>
      <c r="T24" s="85"/>
      <c r="U24" s="85"/>
      <c r="V24" s="85"/>
      <c r="W24" s="85"/>
    </row>
    <row r="25" spans="2:23" s="99" customFormat="1">
      <c r="B25" s="132"/>
      <c r="C25" s="137"/>
      <c r="D25" s="138"/>
      <c r="E25" s="138"/>
      <c r="F25" s="139"/>
      <c r="G25" s="140"/>
      <c r="H25" s="141"/>
      <c r="I25" s="142"/>
      <c r="J25" s="85"/>
      <c r="K25" s="136"/>
      <c r="L25" s="85"/>
      <c r="M25" s="85"/>
      <c r="N25" s="85"/>
      <c r="O25" s="85"/>
      <c r="P25" s="85"/>
      <c r="Q25" s="85"/>
      <c r="R25" s="85"/>
      <c r="S25" s="85"/>
      <c r="T25" s="85"/>
      <c r="U25" s="85"/>
      <c r="V25" s="85"/>
      <c r="W25" s="85"/>
    </row>
    <row r="26" spans="2:23" s="99" customFormat="1">
      <c r="B26" s="129" t="s">
        <v>107</v>
      </c>
      <c r="C26" s="130"/>
      <c r="D26" s="138"/>
      <c r="E26" s="138"/>
      <c r="F26" s="139"/>
      <c r="G26" s="140"/>
      <c r="H26" s="141"/>
      <c r="I26" s="142"/>
      <c r="J26" s="85"/>
      <c r="K26" s="85"/>
      <c r="L26" s="85"/>
      <c r="M26" s="85"/>
      <c r="N26" s="85"/>
      <c r="O26" s="85"/>
      <c r="P26" s="85"/>
      <c r="Q26" s="85"/>
      <c r="R26" s="85"/>
      <c r="S26" s="85"/>
      <c r="T26" s="85"/>
      <c r="U26" s="85"/>
      <c r="V26" s="85"/>
      <c r="W26" s="85"/>
    </row>
    <row r="27" spans="2:23" s="99" customFormat="1">
      <c r="B27" s="132" t="s">
        <v>68</v>
      </c>
      <c r="C27" s="143">
        <f>SUM(C29:C40)</f>
        <v>4.884574663010984E-5</v>
      </c>
      <c r="D27" s="143">
        <f>SUM(D29:D40)</f>
        <v>2.1394437023988108E-4</v>
      </c>
      <c r="E27" s="134">
        <f>D27*$C$13</f>
        <v>8.5577748095952433E-4</v>
      </c>
      <c r="F27" s="139"/>
      <c r="G27" s="140"/>
      <c r="H27" s="141"/>
      <c r="I27" s="142"/>
      <c r="J27" s="85"/>
      <c r="K27" s="85"/>
      <c r="L27" s="85"/>
      <c r="M27" s="85"/>
      <c r="N27" s="85"/>
      <c r="O27" s="85"/>
      <c r="P27" s="85"/>
      <c r="Q27" s="85"/>
      <c r="R27" s="85"/>
      <c r="S27" s="85"/>
      <c r="T27" s="85"/>
      <c r="U27" s="85"/>
      <c r="V27" s="85"/>
      <c r="W27" s="85"/>
    </row>
    <row r="28" spans="2:23" s="99" customFormat="1" ht="15" customHeight="1">
      <c r="B28" s="352"/>
      <c r="C28" s="353"/>
      <c r="D28" s="354"/>
      <c r="E28" s="354"/>
      <c r="F28" s="355"/>
      <c r="G28" s="204"/>
      <c r="H28" s="356"/>
      <c r="I28" s="142"/>
      <c r="J28" s="85"/>
      <c r="K28" s="85"/>
      <c r="L28" s="85"/>
      <c r="M28" s="85"/>
      <c r="N28" s="85"/>
      <c r="O28" s="85"/>
      <c r="P28" s="85"/>
      <c r="Q28" s="85"/>
      <c r="R28" s="85"/>
      <c r="S28" s="85"/>
      <c r="T28" s="85"/>
      <c r="U28" s="85"/>
      <c r="V28" s="85"/>
      <c r="W28" s="85"/>
    </row>
    <row r="29" spans="2:23" s="99" customFormat="1">
      <c r="B29" s="144" t="s">
        <v>108</v>
      </c>
      <c r="C29" s="145"/>
      <c r="D29" s="146"/>
      <c r="E29" s="146"/>
      <c r="F29" s="147"/>
      <c r="G29" s="128"/>
      <c r="H29" s="4"/>
      <c r="I29" s="84"/>
      <c r="J29" s="85"/>
      <c r="K29" s="85"/>
      <c r="L29" s="85"/>
      <c r="M29" s="85"/>
      <c r="N29" s="85"/>
      <c r="O29" s="85"/>
      <c r="P29" s="85"/>
      <c r="Q29" s="85"/>
      <c r="R29" s="85"/>
      <c r="S29" s="85"/>
      <c r="T29" s="85"/>
      <c r="U29" s="85"/>
      <c r="V29" s="85"/>
      <c r="W29" s="85"/>
    </row>
    <row r="30" spans="2:23" s="99" customFormat="1">
      <c r="B30" s="148" t="s">
        <v>109</v>
      </c>
      <c r="C30" s="133">
        <f>($F30/10000)/100*C$22</f>
        <v>3.1608278245122888E-8</v>
      </c>
      <c r="D30" s="133">
        <f>($F30/10000)/100*D$22</f>
        <v>1.3844425871363823E-7</v>
      </c>
      <c r="E30" s="133">
        <f t="shared" ref="E30:E40" si="1">D30*$C$13</f>
        <v>5.5377703485455292E-7</v>
      </c>
      <c r="F30" s="149">
        <f>((2.81*(1-0.0025))+((2.77/2)*(1-0.0975))+((2.5/2)*(1-0.0481)))/3</f>
        <v>1.7476041666666664</v>
      </c>
      <c r="G30" s="100" t="s">
        <v>110</v>
      </c>
      <c r="H30" s="453" t="s">
        <v>132</v>
      </c>
      <c r="I30" s="84"/>
      <c r="J30" s="85"/>
      <c r="K30" s="85"/>
      <c r="L30" s="85"/>
      <c r="M30" s="85"/>
      <c r="N30" s="85"/>
      <c r="O30" s="85"/>
      <c r="P30" s="85"/>
      <c r="Q30" s="85"/>
      <c r="R30" s="85"/>
      <c r="S30" s="85"/>
      <c r="T30" s="85"/>
      <c r="U30" s="85"/>
      <c r="V30" s="85"/>
      <c r="W30" s="85"/>
    </row>
    <row r="31" spans="2:23" s="99" customFormat="1" ht="12.75" customHeight="1">
      <c r="B31" s="148" t="s">
        <v>112</v>
      </c>
      <c r="C31" s="133">
        <f t="shared" ref="C31:D40" si="2">($F31/10000)/100*C$22</f>
        <v>2.1655429226692578E-8</v>
      </c>
      <c r="D31" s="133">
        <f t="shared" si="2"/>
        <v>9.485078001291347E-8</v>
      </c>
      <c r="E31" s="133">
        <f t="shared" si="1"/>
        <v>3.7940312005165388E-7</v>
      </c>
      <c r="F31" s="149">
        <f>(((2.31/2)*(1-0.0025))+((2.77/2)*(1-0.0975))+((2.5/2)*(1-0.0481)))/3</f>
        <v>1.1973166666666666</v>
      </c>
      <c r="G31" s="100" t="s">
        <v>110</v>
      </c>
      <c r="H31" s="453"/>
      <c r="I31" s="84"/>
      <c r="J31" s="85"/>
      <c r="K31" s="85"/>
      <c r="L31" s="85"/>
      <c r="M31" s="85"/>
      <c r="N31" s="85"/>
      <c r="O31" s="85"/>
      <c r="P31" s="85"/>
      <c r="Q31" s="85"/>
      <c r="R31" s="85"/>
      <c r="S31" s="85"/>
      <c r="T31" s="85"/>
      <c r="U31" s="85"/>
      <c r="V31" s="85"/>
      <c r="W31" s="85"/>
    </row>
    <row r="32" spans="2:23" s="99" customFormat="1">
      <c r="B32" s="148" t="s">
        <v>113</v>
      </c>
      <c r="C32" s="133">
        <f t="shared" si="2"/>
        <v>2.0143501110516347E-7</v>
      </c>
      <c r="D32" s="133">
        <f t="shared" si="2"/>
        <v>8.822853486406159E-7</v>
      </c>
      <c r="E32" s="133">
        <f t="shared" si="1"/>
        <v>3.5291413945624636E-6</v>
      </c>
      <c r="F32" s="149">
        <f>11.7*(1-0.0481)</f>
        <v>11.137229999999999</v>
      </c>
      <c r="G32" s="100" t="s">
        <v>110</v>
      </c>
      <c r="H32" s="453"/>
      <c r="I32" s="84"/>
      <c r="J32" s="85"/>
      <c r="K32" s="85"/>
      <c r="L32" s="85"/>
      <c r="M32" s="85"/>
      <c r="N32" s="85"/>
      <c r="O32" s="85"/>
      <c r="P32" s="85"/>
      <c r="Q32" s="85"/>
      <c r="R32" s="85"/>
      <c r="S32" s="85"/>
      <c r="T32" s="85"/>
      <c r="U32" s="85"/>
      <c r="V32" s="85"/>
      <c r="W32" s="85"/>
    </row>
    <row r="33" spans="2:23" s="99" customFormat="1">
      <c r="B33" s="148" t="s">
        <v>114</v>
      </c>
      <c r="C33" s="133">
        <f t="shared" si="2"/>
        <v>2.1179336247462527E-8</v>
      </c>
      <c r="D33" s="133">
        <f t="shared" si="2"/>
        <v>9.2765492763885859E-8</v>
      </c>
      <c r="E33" s="133">
        <f t="shared" si="1"/>
        <v>3.7106197105554344E-7</v>
      </c>
      <c r="F33" s="149">
        <f>(((2.31/2)*(1-0.0025))+((2.5/2)*(1-0.0481)))/2</f>
        <v>1.1709937500000001</v>
      </c>
      <c r="G33" s="100" t="s">
        <v>110</v>
      </c>
      <c r="H33" s="453"/>
      <c r="I33" s="84"/>
      <c r="J33" s="85"/>
      <c r="K33" s="85"/>
      <c r="L33" s="85"/>
      <c r="M33" s="85"/>
      <c r="N33" s="85"/>
      <c r="O33" s="85"/>
      <c r="P33" s="85"/>
      <c r="Q33" s="85"/>
      <c r="R33" s="85"/>
      <c r="S33" s="85"/>
      <c r="T33" s="85"/>
      <c r="U33" s="85"/>
      <c r="V33" s="85"/>
      <c r="W33" s="85"/>
    </row>
    <row r="34" spans="2:23" s="99" customFormat="1">
      <c r="B34" s="148" t="s">
        <v>115</v>
      </c>
      <c r="C34" s="133">
        <f t="shared" si="2"/>
        <v>3.9468093659585331E-7</v>
      </c>
      <c r="D34" s="133">
        <f t="shared" si="2"/>
        <v>1.7287025022898371E-6</v>
      </c>
      <c r="E34" s="133">
        <f t="shared" si="1"/>
        <v>6.9148100091593485E-6</v>
      </c>
      <c r="F34" s="149">
        <f>((36.8*(1-0.0025))+(21*(1-0.0975))+(10.3*(1-0.0481)))/3</f>
        <v>21.82169</v>
      </c>
      <c r="G34" s="100" t="s">
        <v>110</v>
      </c>
      <c r="H34" s="453"/>
      <c r="I34" s="84"/>
      <c r="J34" s="85"/>
      <c r="K34" s="85"/>
      <c r="L34" s="85"/>
      <c r="M34" s="85"/>
      <c r="N34" s="85"/>
      <c r="O34" s="85"/>
      <c r="P34" s="85"/>
      <c r="Q34" s="85"/>
      <c r="R34" s="85"/>
      <c r="S34" s="85"/>
      <c r="T34" s="85"/>
      <c r="U34" s="85"/>
      <c r="V34" s="85"/>
      <c r="W34" s="85"/>
    </row>
    <row r="35" spans="2:23" s="99" customFormat="1">
      <c r="B35" s="148" t="s">
        <v>116</v>
      </c>
      <c r="C35" s="133">
        <f t="shared" si="2"/>
        <v>2.1179336247462527E-8</v>
      </c>
      <c r="D35" s="133">
        <f t="shared" si="2"/>
        <v>9.2765492763885859E-8</v>
      </c>
      <c r="E35" s="133">
        <f t="shared" si="1"/>
        <v>3.7106197105554344E-7</v>
      </c>
      <c r="F35" s="149">
        <f>(((2.31/2)*(1-0.0025))+((2.5/2)*(1-0.0481)))/2</f>
        <v>1.1709937500000001</v>
      </c>
      <c r="G35" s="100" t="s">
        <v>110</v>
      </c>
      <c r="H35" s="453"/>
      <c r="I35" s="84"/>
      <c r="J35" s="85"/>
      <c r="K35" s="85"/>
      <c r="L35" s="85"/>
      <c r="M35" s="85"/>
      <c r="N35" s="85"/>
      <c r="O35" s="85"/>
      <c r="P35" s="85"/>
      <c r="Q35" s="85"/>
      <c r="R35" s="85"/>
      <c r="S35" s="85"/>
      <c r="T35" s="85"/>
      <c r="U35" s="85"/>
      <c r="V35" s="85"/>
      <c r="W35" s="85"/>
    </row>
    <row r="36" spans="2:23" s="99" customFormat="1">
      <c r="B36" s="148" t="s">
        <v>24</v>
      </c>
      <c r="C36" s="133">
        <f t="shared" si="2"/>
        <v>1.9595694925957707E-7</v>
      </c>
      <c r="D36" s="133">
        <f t="shared" si="2"/>
        <v>8.5829143775694746E-7</v>
      </c>
      <c r="E36" s="133">
        <f t="shared" si="1"/>
        <v>3.4331657510277898E-6</v>
      </c>
      <c r="F36" s="149">
        <f>((5.49*(1-0.0025))+(19.8*(1-0.0975))+(9.62*(1-0.0481)))/3</f>
        <v>10.834351</v>
      </c>
      <c r="G36" s="100" t="s">
        <v>110</v>
      </c>
      <c r="H36" s="453"/>
      <c r="I36" s="84"/>
      <c r="J36" s="85"/>
      <c r="K36" s="85"/>
      <c r="L36" s="85"/>
      <c r="M36" s="85"/>
      <c r="N36" s="85"/>
      <c r="O36" s="85"/>
      <c r="P36" s="85"/>
      <c r="Q36" s="85"/>
      <c r="R36" s="85"/>
      <c r="S36" s="85"/>
      <c r="T36" s="85"/>
      <c r="U36" s="85"/>
      <c r="V36" s="85"/>
      <c r="W36" s="85"/>
    </row>
    <row r="37" spans="2:23" s="99" customFormat="1">
      <c r="B37" s="148" t="s">
        <v>117</v>
      </c>
      <c r="C37" s="133">
        <f t="shared" si="2"/>
        <v>4.7858784962707425E-5</v>
      </c>
      <c r="D37" s="133">
        <f t="shared" si="2"/>
        <v>2.096214781366585E-4</v>
      </c>
      <c r="E37" s="133">
        <f t="shared" si="1"/>
        <v>8.3848591254663399E-4</v>
      </c>
      <c r="F37" s="149">
        <f>((1350*(1-0.0025))+(5690*(1-0.0975))+(1530*(1-0.0481)))/3</f>
        <v>2646.0856666666664</v>
      </c>
      <c r="G37" s="100" t="s">
        <v>110</v>
      </c>
      <c r="H37" s="453"/>
      <c r="I37" s="84"/>
      <c r="J37" s="85"/>
      <c r="K37" s="85"/>
      <c r="L37" s="85"/>
      <c r="M37" s="85"/>
      <c r="N37" s="85"/>
      <c r="O37" s="85"/>
      <c r="P37" s="85"/>
      <c r="Q37" s="85"/>
      <c r="R37" s="85"/>
      <c r="S37" s="85"/>
      <c r="T37" s="85"/>
      <c r="U37" s="85"/>
      <c r="V37" s="85"/>
      <c r="W37" s="85"/>
    </row>
    <row r="38" spans="2:23" s="99" customFormat="1">
      <c r="B38" s="148" t="s">
        <v>118</v>
      </c>
      <c r="C38" s="133">
        <f t="shared" si="2"/>
        <v>3.7072823345674974E-11</v>
      </c>
      <c r="D38" s="133">
        <f t="shared" si="2"/>
        <v>1.6237896625405637E-10</v>
      </c>
      <c r="E38" s="133">
        <f t="shared" si="1"/>
        <v>6.4951586501622549E-10</v>
      </c>
      <c r="F38" s="149">
        <f>(((0.00489/2)*(1-0.0025))+((0.00548/2)*(1-0.0975))+((0.0026/2)*(1-0.0481)))/3</f>
        <v>2.0497358333333338E-3</v>
      </c>
      <c r="G38" s="100" t="s">
        <v>110</v>
      </c>
      <c r="H38" s="453"/>
      <c r="I38" s="84"/>
      <c r="J38" s="85"/>
      <c r="K38" s="85"/>
      <c r="L38" s="85"/>
      <c r="M38" s="85"/>
      <c r="N38" s="85"/>
      <c r="O38" s="85"/>
      <c r="P38" s="85"/>
      <c r="Q38" s="85"/>
      <c r="R38" s="85"/>
      <c r="S38" s="85"/>
      <c r="T38" s="85"/>
      <c r="U38" s="85"/>
      <c r="V38" s="85"/>
      <c r="W38" s="85"/>
    </row>
    <row r="39" spans="2:23" s="99" customFormat="1">
      <c r="B39" s="148" t="s">
        <v>119</v>
      </c>
      <c r="C39" s="133">
        <f t="shared" si="2"/>
        <v>7.8049981404268204E-8</v>
      </c>
      <c r="D39" s="133">
        <f t="shared" si="2"/>
        <v>3.4185891855069472E-7</v>
      </c>
      <c r="E39" s="133">
        <f t="shared" si="1"/>
        <v>1.3674356742027789E-6</v>
      </c>
      <c r="F39" s="149">
        <f>((3.07*(1-0.0025))+((2.77/2)*(1-0.0975))+(9.07*(1-0.0481)))/3</f>
        <v>4.3153401666666662</v>
      </c>
      <c r="G39" s="100" t="s">
        <v>110</v>
      </c>
      <c r="H39" s="453"/>
      <c r="I39" s="84"/>
      <c r="J39" s="85"/>
      <c r="K39" s="85"/>
      <c r="L39" s="85"/>
      <c r="M39" s="85"/>
      <c r="N39" s="85"/>
      <c r="O39" s="85"/>
      <c r="P39" s="85"/>
      <c r="Q39" s="85"/>
      <c r="R39" s="85"/>
      <c r="S39" s="85"/>
      <c r="T39" s="85"/>
      <c r="U39" s="85"/>
      <c r="V39" s="85"/>
      <c r="W39" s="85"/>
    </row>
    <row r="40" spans="2:23" s="99" customFormat="1">
      <c r="B40" s="150" t="s">
        <v>120</v>
      </c>
      <c r="C40" s="151">
        <f t="shared" si="2"/>
        <v>2.1179336247462527E-8</v>
      </c>
      <c r="D40" s="151">
        <f t="shared" si="2"/>
        <v>9.2765492763885859E-8</v>
      </c>
      <c r="E40" s="151">
        <f t="shared" si="1"/>
        <v>3.7106197105554344E-7</v>
      </c>
      <c r="F40" s="152">
        <f>(((2.31/2)*(1-0.0025))+((2.5/2)*(1-0.0481)))/2</f>
        <v>1.1709937500000001</v>
      </c>
      <c r="G40" s="153" t="s">
        <v>110</v>
      </c>
      <c r="H40" s="457"/>
      <c r="I40" s="84"/>
      <c r="J40" s="85"/>
      <c r="K40" s="85"/>
      <c r="L40" s="85"/>
      <c r="M40" s="85"/>
      <c r="N40" s="85"/>
      <c r="O40" s="85"/>
      <c r="P40" s="85"/>
      <c r="Q40" s="85"/>
      <c r="R40" s="85"/>
      <c r="S40" s="85"/>
      <c r="T40" s="85"/>
      <c r="U40" s="85"/>
      <c r="V40" s="85"/>
      <c r="W40" s="85"/>
    </row>
    <row r="41" spans="2:23" s="99" customFormat="1">
      <c r="B41" s="145"/>
      <c r="C41" s="146"/>
      <c r="D41" s="146"/>
      <c r="E41" s="146"/>
      <c r="F41" s="147"/>
      <c r="G41" s="128"/>
      <c r="H41" s="128"/>
      <c r="I41" s="84"/>
      <c r="J41" s="85"/>
      <c r="K41" s="85"/>
      <c r="L41" s="85"/>
      <c r="M41" s="85"/>
      <c r="N41" s="85"/>
      <c r="O41" s="85"/>
      <c r="P41" s="85"/>
      <c r="Q41" s="85"/>
      <c r="R41" s="85"/>
      <c r="S41" s="85"/>
      <c r="T41" s="85"/>
      <c r="U41" s="85"/>
      <c r="V41" s="85"/>
      <c r="W41" s="85"/>
    </row>
    <row r="42" spans="2:23" s="99" customFormat="1">
      <c r="B42" s="154" t="s">
        <v>149</v>
      </c>
      <c r="C42" s="2"/>
      <c r="D42" s="2"/>
      <c r="E42" s="2"/>
      <c r="F42" s="2"/>
      <c r="G42" s="2"/>
      <c r="H42" s="2"/>
      <c r="I42" s="2"/>
      <c r="J42" s="155"/>
      <c r="K42" s="155"/>
      <c r="L42" s="155"/>
      <c r="M42" s="155"/>
      <c r="N42" s="155"/>
      <c r="O42" s="85"/>
      <c r="P42" s="85"/>
      <c r="Q42" s="85"/>
      <c r="R42" s="85"/>
      <c r="S42" s="85"/>
      <c r="T42" s="85"/>
      <c r="U42" s="85"/>
      <c r="V42" s="85"/>
      <c r="W42" s="85"/>
    </row>
    <row r="43" spans="2:23">
      <c r="B43" s="156"/>
      <c r="C43" s="3"/>
      <c r="D43" s="3"/>
      <c r="E43" s="3"/>
      <c r="F43" s="3"/>
      <c r="G43" s="3"/>
      <c r="H43" s="3"/>
      <c r="I43" s="3"/>
      <c r="J43" s="155"/>
      <c r="K43" s="155"/>
      <c r="L43" s="155"/>
      <c r="M43" s="155"/>
      <c r="N43" s="155"/>
    </row>
    <row r="44" spans="2:23">
      <c r="B44" s="156"/>
      <c r="C44" s="156"/>
      <c r="D44" s="155"/>
      <c r="E44" s="155"/>
      <c r="F44" s="3"/>
      <c r="G44" s="3"/>
      <c r="H44" s="3"/>
      <c r="I44" s="3"/>
      <c r="J44" s="155"/>
      <c r="K44" s="155"/>
      <c r="L44" s="155"/>
      <c r="M44" s="155"/>
      <c r="N44" s="155"/>
    </row>
    <row r="45" spans="2:23">
      <c r="B45" s="2"/>
      <c r="C45" s="157" t="s">
        <v>150</v>
      </c>
      <c r="D45" s="158">
        <v>0.74</v>
      </c>
      <c r="E45" s="158"/>
      <c r="F45" s="159" t="s">
        <v>151</v>
      </c>
      <c r="G45" s="159"/>
      <c r="H45" s="3"/>
      <c r="I45" s="3"/>
      <c r="J45" s="155"/>
      <c r="K45" s="155"/>
      <c r="L45" s="155"/>
      <c r="M45" s="155"/>
      <c r="N45" s="155"/>
    </row>
    <row r="46" spans="2:23" ht="15.75">
      <c r="B46" s="157"/>
      <c r="C46" s="160"/>
      <c r="D46" s="158">
        <v>0.35</v>
      </c>
      <c r="E46" s="158"/>
      <c r="F46" s="159" t="s">
        <v>152</v>
      </c>
      <c r="G46" s="159"/>
      <c r="H46" s="3"/>
      <c r="I46" s="3"/>
      <c r="J46" s="155"/>
      <c r="K46" s="155"/>
      <c r="L46" s="155"/>
      <c r="M46" s="155"/>
      <c r="N46" s="155"/>
    </row>
    <row r="47" spans="2:23" ht="15.75">
      <c r="B47" s="157"/>
      <c r="C47" s="160"/>
      <c r="D47" s="158">
        <v>5.2999999999999999E-2</v>
      </c>
      <c r="E47" s="158"/>
      <c r="F47" s="159" t="s">
        <v>153</v>
      </c>
      <c r="G47" s="159"/>
      <c r="H47" s="3"/>
      <c r="I47" s="3"/>
      <c r="J47" s="155"/>
      <c r="K47" s="155"/>
      <c r="L47" s="155"/>
      <c r="M47" s="155"/>
      <c r="N47" s="155"/>
    </row>
    <row r="48" spans="2:23" ht="13.5" thickBot="1">
      <c r="B48" s="161"/>
      <c r="C48" s="160"/>
      <c r="D48" s="3"/>
      <c r="E48" s="3"/>
      <c r="F48" s="162"/>
      <c r="G48" s="162"/>
      <c r="H48" s="3"/>
      <c r="I48" s="3"/>
      <c r="J48" s="155"/>
      <c r="K48" s="155"/>
      <c r="L48" s="155"/>
      <c r="M48" s="155"/>
      <c r="N48" s="155"/>
    </row>
    <row r="49" spans="2:23">
      <c r="B49" s="163"/>
      <c r="C49" s="164"/>
      <c r="D49" s="165"/>
      <c r="E49" s="458" t="s">
        <v>154</v>
      </c>
      <c r="F49" s="459"/>
      <c r="G49" s="460"/>
      <c r="H49" s="313"/>
      <c r="I49" s="1"/>
      <c r="J49" s="1"/>
      <c r="K49" s="155"/>
      <c r="L49" s="155"/>
      <c r="M49" s="155"/>
      <c r="W49" s="82"/>
    </row>
    <row r="50" spans="2:23" ht="15.75">
      <c r="B50" s="461" t="s">
        <v>155</v>
      </c>
      <c r="C50" s="166" t="s">
        <v>156</v>
      </c>
      <c r="D50" s="167" t="s">
        <v>157</v>
      </c>
      <c r="E50" s="168" t="s">
        <v>56</v>
      </c>
      <c r="F50" s="1" t="s">
        <v>158</v>
      </c>
      <c r="G50" s="169" t="s">
        <v>159</v>
      </c>
      <c r="H50" s="314"/>
      <c r="I50" s="1"/>
      <c r="J50" s="1"/>
      <c r="K50" s="155"/>
      <c r="L50" s="155"/>
      <c r="M50" s="155"/>
      <c r="W50" s="82"/>
    </row>
    <row r="51" spans="2:23" ht="15">
      <c r="B51" s="461"/>
      <c r="C51" s="166" t="s">
        <v>160</v>
      </c>
      <c r="D51" s="170" t="s">
        <v>161</v>
      </c>
      <c r="E51" s="171" t="s">
        <v>162</v>
      </c>
      <c r="F51" s="172" t="s">
        <v>162</v>
      </c>
      <c r="G51" s="173" t="s">
        <v>162</v>
      </c>
      <c r="H51" s="314"/>
      <c r="I51" s="155"/>
      <c r="J51" s="155"/>
      <c r="K51" s="155"/>
      <c r="L51" s="155"/>
      <c r="M51" s="155"/>
      <c r="W51" s="82"/>
    </row>
    <row r="52" spans="2:23">
      <c r="B52" s="174"/>
      <c r="C52" s="175"/>
      <c r="D52" s="176"/>
      <c r="E52" s="177" t="s">
        <v>163</v>
      </c>
      <c r="F52" s="178" t="s">
        <v>163</v>
      </c>
      <c r="G52" s="179" t="s">
        <v>163</v>
      </c>
      <c r="H52" s="314"/>
      <c r="I52" s="155"/>
      <c r="J52" s="155"/>
      <c r="K52" s="155"/>
      <c r="L52" s="155"/>
      <c r="M52" s="155"/>
      <c r="W52" s="82"/>
    </row>
    <row r="53" spans="2:23">
      <c r="B53" s="180" t="s">
        <v>164</v>
      </c>
      <c r="C53" s="181">
        <v>6.5250000000000004</v>
      </c>
      <c r="D53" s="182">
        <v>12</v>
      </c>
      <c r="E53" s="183">
        <f>$D$45*0.0032*(($C53/5)^1.3)/(($D53/2)^1.4)</f>
        <v>2.724354463992185E-4</v>
      </c>
      <c r="F53" s="184">
        <f>$D$46*0.0032*(($C53/5)^1.3)/(($D53/2)^1.4)</f>
        <v>1.2885460302665739E-4</v>
      </c>
      <c r="G53" s="185">
        <f>$D$47*0.0032*(($C53/5)^1.3)/(($D53/2)^1.4)</f>
        <v>1.9512268458322408E-5</v>
      </c>
      <c r="H53" s="314"/>
      <c r="I53" s="186"/>
      <c r="J53" s="155"/>
      <c r="K53" s="155"/>
      <c r="L53" s="155"/>
      <c r="M53" s="155"/>
      <c r="W53" s="82"/>
    </row>
    <row r="54" spans="2:23" ht="27" customHeight="1" thickBot="1">
      <c r="B54" s="187"/>
      <c r="C54" s="188"/>
      <c r="D54" s="189"/>
      <c r="E54" s="190"/>
      <c r="F54" s="191"/>
      <c r="G54" s="192"/>
      <c r="H54" s="314"/>
      <c r="I54" s="155"/>
      <c r="J54" s="155"/>
      <c r="K54" s="155"/>
      <c r="L54" s="155"/>
      <c r="M54" s="155"/>
      <c r="W54" s="82"/>
    </row>
    <row r="55" spans="2:23">
      <c r="B55" s="462" t="s">
        <v>165</v>
      </c>
      <c r="C55" s="463"/>
      <c r="D55" s="463"/>
      <c r="E55" s="463"/>
      <c r="F55" s="463"/>
      <c r="G55" s="463"/>
      <c r="H55" s="464"/>
      <c r="I55" s="155"/>
      <c r="J55" s="155"/>
      <c r="K55" s="155"/>
      <c r="L55" s="155"/>
      <c r="M55" s="155"/>
      <c r="N55" s="155"/>
    </row>
    <row r="56" spans="2:23">
      <c r="B56" s="82" t="s">
        <v>166</v>
      </c>
    </row>
  </sheetData>
  <mergeCells count="4">
    <mergeCell ref="H30:H40"/>
    <mergeCell ref="E49:G49"/>
    <mergeCell ref="B50:B51"/>
    <mergeCell ref="B55:H55"/>
  </mergeCells>
  <conditionalFormatting sqref="C22:F24 G25:I28 F30:F40">
    <cfRule type="cellIs" dxfId="7" priority="2" operator="lessThan">
      <formula>0.005</formula>
    </cfRule>
  </conditionalFormatting>
  <conditionalFormatting sqref="C27:F27">
    <cfRule type="cellIs" dxfId="6" priority="1" operator="lessThan">
      <formula>0.005</formula>
    </cfRule>
  </conditionalFormatting>
  <conditionalFormatting sqref="C41:F41">
    <cfRule type="cellIs" dxfId="5" priority="3" operator="lessThan">
      <formula>0.005</formula>
    </cfRule>
  </conditionalFormatting>
  <conditionalFormatting sqref="D25:F26 D28:F29 D42:F42">
    <cfRule type="cellIs" dxfId="4" priority="6" operator="lessThan">
      <formula>0.005</formula>
    </cfRule>
  </conditionalFormatting>
  <pageMargins left="0.7" right="0.7" top="0.75" bottom="0.75" header="0.3" footer="0.3"/>
  <pageSetup scale="63" orientation="landscape" r:id="rId1"/>
  <rowBreaks count="1" manualBreakCount="1">
    <brk id="28" min="1" max="7" man="1"/>
  </rowBreaks>
  <drawing r:id="rId2"/>
  <legacyDrawing r:id="rId3"/>
  <oleObjects>
    <mc:AlternateContent xmlns:mc="http://schemas.openxmlformats.org/markup-compatibility/2006">
      <mc:Choice Requires="x14">
        <oleObject progId="Equation.3" shapeId="15362" r:id="rId4">
          <objectPr defaultSize="0" autoFill="0" autoLine="0" autoPict="0" r:id="rId5">
            <anchor moveWithCells="1" sizeWithCells="1">
              <from>
                <xdr:col>1</xdr:col>
                <xdr:colOff>257175</xdr:colOff>
                <xdr:row>43</xdr:row>
                <xdr:rowOff>19050</xdr:rowOff>
              </from>
              <to>
                <xdr:col>2</xdr:col>
                <xdr:colOff>561975</xdr:colOff>
                <xdr:row>46</xdr:row>
                <xdr:rowOff>19050</xdr:rowOff>
              </to>
            </anchor>
          </objectPr>
        </oleObject>
      </mc:Choice>
      <mc:Fallback>
        <oleObject progId="Equation.3" shapeId="15362" r:id="rId4"/>
      </mc:Fallback>
    </mc:AlternateContent>
    <mc:AlternateContent xmlns:mc="http://schemas.openxmlformats.org/markup-compatibility/2006">
      <mc:Choice Requires="x14">
        <oleObject progId="Equation.3" shapeId="15363" r:id="rId6">
          <objectPr defaultSize="0" autoFill="0" autoLine="0" autoPict="0" r:id="rId5">
            <anchor moveWithCells="1" sizeWithCells="1">
              <from>
                <xdr:col>1</xdr:col>
                <xdr:colOff>257175</xdr:colOff>
                <xdr:row>43</xdr:row>
                <xdr:rowOff>19050</xdr:rowOff>
              </from>
              <to>
                <xdr:col>2</xdr:col>
                <xdr:colOff>561975</xdr:colOff>
                <xdr:row>46</xdr:row>
                <xdr:rowOff>19050</xdr:rowOff>
              </to>
            </anchor>
          </objectPr>
        </oleObject>
      </mc:Choice>
      <mc:Fallback>
        <oleObject progId="Equation.3" shapeId="15363" r:id="rId6"/>
      </mc:Fallback>
    </mc:AlternateContent>
  </oleObjec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1CFFC-8278-409C-B7F8-85DAC0EDC2E2}">
  <sheetPr>
    <tabColor rgb="FF92D050"/>
    <pageSetUpPr fitToPage="1"/>
  </sheetPr>
  <dimension ref="B1:V54"/>
  <sheetViews>
    <sheetView topLeftCell="G9" zoomScale="150" zoomScaleNormal="150" zoomScaleSheetLayoutView="140" workbookViewId="0">
      <selection activeCell="L46" sqref="L46"/>
    </sheetView>
  </sheetViews>
  <sheetFormatPr defaultColWidth="9.140625" defaultRowHeight="12.75"/>
  <cols>
    <col min="1" max="1" width="2.7109375" style="82" customWidth="1"/>
    <col min="2" max="2" width="35.7109375" style="82" customWidth="1"/>
    <col min="3" max="6" width="16.7109375" style="82" customWidth="1"/>
    <col min="7" max="7" width="20.85546875" style="83" customWidth="1"/>
    <col min="8" max="8" width="14" style="84" bestFit="1" customWidth="1"/>
    <col min="9" max="9" width="8" style="85" bestFit="1" customWidth="1"/>
    <col min="10" max="10" width="11.140625" style="85" customWidth="1"/>
    <col min="11" max="12" width="9.140625" style="85"/>
    <col min="13" max="13" width="12.7109375" style="85" customWidth="1"/>
    <col min="14" max="22" width="9.140625" style="85"/>
    <col min="23" max="16384" width="9.140625" style="82"/>
  </cols>
  <sheetData>
    <row r="1" spans="2:22">
      <c r="B1" s="81"/>
    </row>
    <row r="3" spans="2:22" s="86" customFormat="1">
      <c r="B3" s="6" t="s">
        <v>0</v>
      </c>
      <c r="C3" s="7" t="str">
        <f>'1. Step 1 Evaluation'!C2</f>
        <v>U. S. Steel</v>
      </c>
      <c r="G3" s="87"/>
      <c r="H3" s="3"/>
      <c r="I3" s="89"/>
      <c r="J3" s="89"/>
      <c r="K3" s="89"/>
      <c r="L3" s="89"/>
      <c r="M3" s="89"/>
      <c r="N3" s="89"/>
      <c r="O3" s="89"/>
      <c r="P3" s="89"/>
      <c r="Q3" s="89"/>
      <c r="R3" s="89"/>
      <c r="S3" s="89"/>
      <c r="T3" s="89"/>
      <c r="U3" s="89"/>
      <c r="V3" s="89"/>
    </row>
    <row r="4" spans="2:22" s="86" customFormat="1">
      <c r="B4" s="6" t="s">
        <v>2</v>
      </c>
      <c r="C4" s="7" t="str">
        <f>'1. Step 1 Evaluation'!C3</f>
        <v>Edgar Thomson Plant</v>
      </c>
      <c r="G4" s="90"/>
      <c r="H4" s="91"/>
      <c r="I4" s="89"/>
      <c r="J4" s="89"/>
      <c r="K4" s="89"/>
      <c r="L4" s="89"/>
      <c r="M4" s="89"/>
      <c r="N4" s="89"/>
      <c r="O4" s="89"/>
      <c r="P4" s="89"/>
      <c r="Q4" s="89"/>
      <c r="R4" s="89"/>
      <c r="S4" s="89"/>
      <c r="T4" s="89"/>
      <c r="U4" s="89"/>
      <c r="V4" s="89"/>
    </row>
    <row r="5" spans="2:22" s="86" customFormat="1">
      <c r="B5" s="6" t="s">
        <v>4</v>
      </c>
      <c r="C5" s="7" t="str">
        <f>'1. Step 1 Evaluation'!C4</f>
        <v>Slag Recycler Project</v>
      </c>
      <c r="G5" s="87"/>
      <c r="H5" s="91"/>
      <c r="I5" s="89"/>
      <c r="J5" s="89"/>
      <c r="K5" s="89"/>
      <c r="L5" s="89"/>
      <c r="M5" s="89"/>
      <c r="N5" s="89"/>
      <c r="O5" s="89"/>
      <c r="P5" s="89"/>
      <c r="Q5" s="89"/>
      <c r="R5" s="89"/>
      <c r="S5" s="89"/>
      <c r="T5" s="89"/>
      <c r="U5" s="89"/>
      <c r="V5" s="89"/>
    </row>
    <row r="6" spans="2:22" s="86" customFormat="1">
      <c r="B6" s="6"/>
      <c r="C6" s="92"/>
      <c r="G6" s="87"/>
      <c r="H6" s="91"/>
      <c r="I6" s="89"/>
      <c r="J6" s="89"/>
      <c r="K6" s="89"/>
      <c r="L6" s="89"/>
      <c r="M6" s="89"/>
      <c r="N6" s="89"/>
      <c r="O6" s="89"/>
      <c r="P6" s="89"/>
      <c r="Q6" s="89"/>
      <c r="R6" s="89"/>
      <c r="S6" s="89"/>
      <c r="T6" s="89"/>
      <c r="U6" s="89"/>
      <c r="V6" s="89"/>
    </row>
    <row r="7" spans="2:22" s="96" customFormat="1" ht="13.15" customHeight="1">
      <c r="B7" s="38" t="s">
        <v>167</v>
      </c>
      <c r="C7" s="38"/>
      <c r="D7" s="86"/>
      <c r="E7" s="86"/>
      <c r="F7" s="86"/>
      <c r="G7" s="93"/>
      <c r="H7" s="94"/>
      <c r="I7" s="95"/>
      <c r="J7" s="95"/>
      <c r="K7" s="95"/>
      <c r="L7" s="95"/>
      <c r="M7" s="95"/>
      <c r="N7" s="95"/>
      <c r="O7" s="95"/>
      <c r="P7" s="95"/>
      <c r="Q7" s="95"/>
      <c r="R7" s="95"/>
      <c r="S7" s="95"/>
      <c r="T7" s="95"/>
      <c r="U7" s="95"/>
      <c r="V7" s="95"/>
    </row>
    <row r="8" spans="2:22" s="99" customFormat="1">
      <c r="B8" s="97"/>
      <c r="C8" s="97"/>
      <c r="D8" s="98"/>
      <c r="G8" s="100"/>
      <c r="H8" s="84"/>
      <c r="I8" s="85"/>
      <c r="J8" s="85"/>
      <c r="K8" s="85"/>
      <c r="L8" s="85"/>
      <c r="M8" s="85"/>
      <c r="N8" s="85"/>
      <c r="O8" s="85"/>
      <c r="P8" s="85"/>
      <c r="Q8" s="85"/>
      <c r="R8" s="85"/>
      <c r="S8" s="85"/>
      <c r="T8" s="85"/>
      <c r="U8" s="85"/>
      <c r="V8" s="85"/>
    </row>
    <row r="9" spans="2:22" s="103" customFormat="1">
      <c r="B9" s="101" t="s">
        <v>75</v>
      </c>
      <c r="C9" s="102" t="s">
        <v>168</v>
      </c>
      <c r="D9" s="102"/>
      <c r="E9" s="102"/>
      <c r="H9" s="104"/>
      <c r="I9" s="105"/>
      <c r="J9" s="106"/>
      <c r="K9" s="106"/>
      <c r="L9" s="106"/>
      <c r="M9" s="106"/>
      <c r="N9" s="106"/>
      <c r="O9" s="106"/>
      <c r="P9" s="106"/>
      <c r="Q9" s="106"/>
      <c r="R9" s="106"/>
      <c r="S9" s="106"/>
      <c r="T9" s="106"/>
      <c r="U9" s="106"/>
      <c r="V9" s="106"/>
    </row>
    <row r="10" spans="2:22" s="103" customFormat="1">
      <c r="B10" s="107"/>
      <c r="C10" s="107"/>
      <c r="D10" s="107"/>
      <c r="E10" s="102"/>
      <c r="H10" s="106"/>
      <c r="I10" s="105"/>
      <c r="J10" s="106"/>
      <c r="K10" s="106"/>
      <c r="L10" s="106"/>
      <c r="M10" s="106"/>
      <c r="N10" s="106"/>
      <c r="O10" s="106"/>
      <c r="P10" s="106"/>
      <c r="Q10" s="106"/>
      <c r="R10" s="106"/>
      <c r="S10" s="106"/>
      <c r="T10" s="106"/>
      <c r="U10" s="106"/>
      <c r="V10" s="106"/>
    </row>
    <row r="11" spans="2:22" s="99" customFormat="1">
      <c r="B11" s="108" t="s">
        <v>83</v>
      </c>
      <c r="C11" s="109">
        <f>'4a. Slag Quenching_Exist'!C13</f>
        <v>0</v>
      </c>
      <c r="D11" s="110" t="s">
        <v>84</v>
      </c>
      <c r="G11" s="111"/>
      <c r="H11" s="112"/>
      <c r="I11" s="85"/>
      <c r="J11" s="85"/>
      <c r="K11" s="85"/>
      <c r="L11" s="85"/>
      <c r="M11" s="85"/>
      <c r="N11" s="85"/>
      <c r="O11" s="85"/>
      <c r="P11" s="85"/>
      <c r="Q11" s="85"/>
      <c r="R11" s="85"/>
      <c r="S11" s="85"/>
      <c r="T11" s="85"/>
      <c r="U11" s="85"/>
      <c r="V11" s="85"/>
    </row>
    <row r="12" spans="2:22" s="99" customFormat="1">
      <c r="B12" s="108" t="s">
        <v>85</v>
      </c>
      <c r="C12" s="109">
        <f>'4a. Slag Quenching_Exist'!C12</f>
        <v>0</v>
      </c>
      <c r="D12" s="110" t="s">
        <v>80</v>
      </c>
      <c r="G12" s="111"/>
      <c r="H12" s="113"/>
      <c r="I12" s="84"/>
      <c r="J12" s="85"/>
      <c r="K12" s="85"/>
      <c r="L12" s="85"/>
      <c r="M12" s="85"/>
      <c r="N12" s="85"/>
      <c r="O12" s="85"/>
      <c r="P12" s="85"/>
      <c r="Q12" s="85"/>
      <c r="R12" s="85"/>
      <c r="S12" s="85"/>
      <c r="T12" s="85"/>
      <c r="U12" s="85"/>
      <c r="V12" s="85"/>
    </row>
    <row r="13" spans="2:22" s="99" customFormat="1">
      <c r="B13" s="114"/>
      <c r="C13" s="115"/>
      <c r="D13" s="110"/>
      <c r="G13" s="111"/>
      <c r="H13" s="112"/>
      <c r="I13" s="85"/>
      <c r="J13" s="85"/>
      <c r="K13" s="85"/>
      <c r="L13" s="85"/>
      <c r="M13" s="85"/>
      <c r="N13" s="85"/>
      <c r="O13" s="85"/>
      <c r="P13" s="85"/>
      <c r="Q13" s="85"/>
      <c r="R13" s="85"/>
      <c r="S13" s="85"/>
      <c r="T13" s="85"/>
      <c r="U13" s="85"/>
      <c r="V13" s="85"/>
    </row>
    <row r="14" spans="2:22" s="99" customFormat="1">
      <c r="B14" s="116" t="s">
        <v>169</v>
      </c>
      <c r="D14" s="110"/>
      <c r="E14" s="110"/>
      <c r="F14" s="110"/>
      <c r="G14" s="100"/>
      <c r="H14" s="84"/>
      <c r="I14" s="85"/>
      <c r="J14" s="85"/>
      <c r="K14" s="117"/>
      <c r="L14" s="85"/>
      <c r="M14" s="85"/>
      <c r="N14" s="85"/>
      <c r="O14" s="85"/>
      <c r="P14" s="85"/>
      <c r="Q14" s="85"/>
      <c r="R14" s="85"/>
      <c r="S14" s="85"/>
      <c r="T14" s="85"/>
      <c r="U14" s="85"/>
      <c r="V14" s="85"/>
    </row>
    <row r="15" spans="2:22" s="99" customFormat="1" ht="3.75" customHeight="1">
      <c r="D15" s="98"/>
      <c r="E15" s="98"/>
      <c r="G15" s="100"/>
      <c r="H15" s="84"/>
      <c r="I15" s="85"/>
      <c r="J15" s="85"/>
      <c r="K15" s="85"/>
      <c r="L15" s="85"/>
      <c r="M15" s="85"/>
      <c r="N15" s="85"/>
      <c r="O15" s="85"/>
      <c r="P15" s="85"/>
      <c r="Q15" s="85"/>
      <c r="R15" s="85"/>
      <c r="S15" s="85"/>
      <c r="T15" s="85"/>
      <c r="U15" s="85"/>
      <c r="V15" s="85"/>
    </row>
    <row r="16" spans="2:22" s="99" customFormat="1" ht="3.75" customHeight="1">
      <c r="B16" s="118"/>
      <c r="C16" s="119"/>
      <c r="D16" s="120"/>
      <c r="E16" s="120"/>
      <c r="F16" s="119"/>
      <c r="G16" s="4"/>
      <c r="H16" s="84"/>
      <c r="I16" s="85"/>
      <c r="J16" s="85"/>
      <c r="K16" s="85"/>
      <c r="L16" s="85"/>
      <c r="M16" s="85"/>
      <c r="N16" s="85"/>
      <c r="O16" s="85"/>
      <c r="P16" s="85"/>
      <c r="Q16" s="85"/>
      <c r="R16" s="85"/>
      <c r="S16" s="85"/>
      <c r="T16" s="85"/>
      <c r="U16" s="85"/>
      <c r="V16" s="85"/>
    </row>
    <row r="17" spans="2:22" s="126" customFormat="1" ht="36" customHeight="1">
      <c r="B17" s="121" t="s">
        <v>128</v>
      </c>
      <c r="C17" s="122" t="s">
        <v>88</v>
      </c>
      <c r="D17" s="122" t="s">
        <v>89</v>
      </c>
      <c r="E17" s="122" t="s">
        <v>90</v>
      </c>
      <c r="F17" s="122" t="s">
        <v>91</v>
      </c>
      <c r="G17" s="123" t="s">
        <v>92</v>
      </c>
      <c r="H17" s="124"/>
      <c r="I17" s="125"/>
      <c r="J17" s="125"/>
      <c r="K17" s="125"/>
      <c r="L17" s="125"/>
      <c r="M17" s="125"/>
      <c r="N17" s="125"/>
      <c r="O17" s="125"/>
      <c r="P17" s="125"/>
      <c r="Q17" s="125"/>
      <c r="R17" s="125"/>
      <c r="S17" s="125"/>
      <c r="T17" s="125"/>
      <c r="U17" s="125"/>
      <c r="V17" s="125"/>
    </row>
    <row r="18" spans="2:22" s="99" customFormat="1" ht="3.75" customHeight="1">
      <c r="B18" s="127"/>
      <c r="D18" s="98"/>
      <c r="E18" s="100"/>
      <c r="F18" s="100"/>
      <c r="G18" s="5"/>
      <c r="H18" s="84"/>
      <c r="I18" s="85"/>
      <c r="J18" s="85"/>
      <c r="K18" s="85"/>
      <c r="L18" s="85"/>
      <c r="M18" s="85"/>
      <c r="N18" s="85"/>
      <c r="O18" s="85"/>
      <c r="P18" s="85"/>
      <c r="Q18" s="85"/>
      <c r="R18" s="85"/>
      <c r="S18" s="85"/>
      <c r="T18" s="85"/>
      <c r="U18" s="85"/>
      <c r="V18" s="85"/>
    </row>
    <row r="19" spans="2:22" s="99" customFormat="1" ht="3.75" customHeight="1">
      <c r="B19" s="118"/>
      <c r="C19" s="119"/>
      <c r="D19" s="420"/>
      <c r="E19" s="128"/>
      <c r="F19" s="424"/>
      <c r="G19" s="4"/>
      <c r="H19" s="430"/>
      <c r="I19" s="85"/>
      <c r="J19" s="136"/>
      <c r="K19" s="85"/>
      <c r="L19" s="136"/>
      <c r="M19" s="85"/>
      <c r="N19" s="136"/>
      <c r="O19" s="85"/>
      <c r="P19" s="136"/>
      <c r="Q19" s="85"/>
      <c r="R19" s="85"/>
      <c r="S19" s="85"/>
      <c r="T19" s="136"/>
      <c r="U19" s="85"/>
      <c r="V19" s="85"/>
    </row>
    <row r="20" spans="2:22" s="99" customFormat="1">
      <c r="B20" s="129" t="s">
        <v>93</v>
      </c>
      <c r="C20" s="130"/>
      <c r="D20" s="131"/>
      <c r="E20" s="131"/>
      <c r="G20" s="5"/>
      <c r="H20" s="84"/>
      <c r="I20" s="85"/>
      <c r="J20" s="85"/>
      <c r="K20" s="85"/>
      <c r="L20" s="85"/>
      <c r="M20" s="85"/>
      <c r="N20" s="85"/>
      <c r="O20" s="85"/>
      <c r="P20" s="85"/>
      <c r="Q20" s="85"/>
      <c r="R20" s="85"/>
      <c r="S20" s="85"/>
      <c r="T20" s="85"/>
      <c r="U20" s="85"/>
      <c r="V20" s="85"/>
    </row>
    <row r="21" spans="2:22" s="99" customFormat="1">
      <c r="B21" s="132" t="s">
        <v>94</v>
      </c>
      <c r="C21" s="133">
        <f t="shared" ref="C21" si="0">E21*($C$11/24)</f>
        <v>0</v>
      </c>
      <c r="D21" s="134">
        <f t="shared" ref="D21" si="1">E21*$C$12/2000</f>
        <v>0</v>
      </c>
      <c r="E21" s="135">
        <f>'8a. Baseline Em_Report'!$C$38</f>
        <v>9.4384271624361647E-4</v>
      </c>
      <c r="F21" s="100" t="s">
        <v>139</v>
      </c>
      <c r="G21" s="453" t="s">
        <v>170</v>
      </c>
      <c r="H21" s="84"/>
      <c r="I21" s="85"/>
      <c r="J21" s="136"/>
      <c r="K21" s="136"/>
      <c r="L21" s="85"/>
      <c r="M21" s="85"/>
      <c r="N21" s="85"/>
      <c r="O21" s="85"/>
      <c r="P21" s="85"/>
      <c r="Q21" s="85"/>
      <c r="R21" s="85"/>
      <c r="S21" s="85"/>
      <c r="T21" s="85"/>
      <c r="U21" s="85"/>
      <c r="V21" s="85"/>
    </row>
    <row r="22" spans="2:22" s="99" customFormat="1" ht="15.75">
      <c r="B22" s="132" t="s">
        <v>97</v>
      </c>
      <c r="C22" s="133">
        <f>E22*($C$11/24)</f>
        <v>0</v>
      </c>
      <c r="D22" s="134">
        <f>E22*$C$12/2000</f>
        <v>0</v>
      </c>
      <c r="E22" s="135">
        <f>'8a. Baseline Em_Report'!$C$39</f>
        <v>4.4641209552062942E-4</v>
      </c>
      <c r="F22" s="100" t="s">
        <v>139</v>
      </c>
      <c r="G22" s="453"/>
      <c r="H22" s="84"/>
      <c r="I22" s="85"/>
      <c r="J22" s="136"/>
      <c r="K22" s="85"/>
      <c r="L22" s="85"/>
      <c r="M22" s="85"/>
      <c r="N22" s="85"/>
      <c r="O22" s="85"/>
      <c r="P22" s="85"/>
      <c r="Q22" s="85"/>
      <c r="R22" s="85"/>
      <c r="S22" s="85"/>
      <c r="T22" s="85"/>
      <c r="U22" s="85"/>
      <c r="V22" s="85"/>
    </row>
    <row r="23" spans="2:22" s="99" customFormat="1" ht="15.75">
      <c r="B23" s="132" t="s">
        <v>98</v>
      </c>
      <c r="C23" s="133">
        <f>E23*($C$11/24)</f>
        <v>0</v>
      </c>
      <c r="D23" s="134">
        <f>E23*$C$12/2000</f>
        <v>0</v>
      </c>
      <c r="E23" s="135">
        <f>'8a. Baseline Em_Report'!$C$40</f>
        <v>6.7599545893123891E-5</v>
      </c>
      <c r="F23" s="100" t="s">
        <v>139</v>
      </c>
      <c r="G23" s="453"/>
      <c r="H23" s="84"/>
      <c r="I23" s="85"/>
      <c r="J23" s="136"/>
      <c r="K23" s="85"/>
      <c r="L23" s="85"/>
      <c r="M23" s="85"/>
      <c r="N23" s="85"/>
      <c r="O23" s="85"/>
      <c r="P23" s="85"/>
      <c r="Q23" s="85"/>
      <c r="R23" s="85"/>
      <c r="S23" s="85"/>
      <c r="T23" s="85"/>
      <c r="U23" s="85"/>
      <c r="V23" s="85"/>
    </row>
    <row r="24" spans="2:22" s="99" customFormat="1">
      <c r="B24" s="132"/>
      <c r="C24" s="137"/>
      <c r="D24" s="138"/>
      <c r="E24" s="139"/>
      <c r="F24" s="140"/>
      <c r="G24" s="141"/>
      <c r="H24" s="142"/>
      <c r="I24" s="85"/>
      <c r="J24" s="136"/>
      <c r="K24" s="85"/>
      <c r="L24" s="85"/>
      <c r="M24" s="85"/>
      <c r="N24" s="85"/>
      <c r="O24" s="85"/>
      <c r="P24" s="85"/>
      <c r="Q24" s="85"/>
      <c r="R24" s="85"/>
      <c r="S24" s="85"/>
      <c r="T24" s="85"/>
      <c r="U24" s="85"/>
      <c r="V24" s="85"/>
    </row>
    <row r="25" spans="2:22" s="99" customFormat="1">
      <c r="B25" s="129" t="s">
        <v>107</v>
      </c>
      <c r="C25" s="130"/>
      <c r="D25" s="138"/>
      <c r="E25" s="139"/>
      <c r="F25" s="140"/>
      <c r="G25" s="141"/>
      <c r="H25" s="142"/>
      <c r="I25" s="85"/>
      <c r="J25" s="85"/>
      <c r="K25" s="85"/>
      <c r="L25" s="85"/>
      <c r="M25" s="85"/>
      <c r="N25" s="85"/>
      <c r="O25" s="85"/>
      <c r="P25" s="85"/>
      <c r="Q25" s="85"/>
      <c r="R25" s="85"/>
      <c r="S25" s="85"/>
      <c r="T25" s="85"/>
      <c r="U25" s="85"/>
      <c r="V25" s="85"/>
    </row>
    <row r="26" spans="2:22" s="99" customFormat="1">
      <c r="B26" s="132" t="s">
        <v>68</v>
      </c>
      <c r="C26" s="143">
        <f>SUM(C29:C39)</f>
        <v>0</v>
      </c>
      <c r="D26" s="143">
        <f>SUM(D29:D39)</f>
        <v>0</v>
      </c>
      <c r="E26" s="139"/>
      <c r="F26" s="140"/>
      <c r="G26" s="141"/>
      <c r="H26" s="142"/>
      <c r="I26" s="85"/>
      <c r="J26" s="85"/>
      <c r="K26" s="85"/>
      <c r="L26" s="85"/>
      <c r="M26" s="85"/>
      <c r="N26" s="85"/>
      <c r="O26" s="85"/>
      <c r="P26" s="85"/>
      <c r="Q26" s="85"/>
      <c r="R26" s="85"/>
      <c r="S26" s="85"/>
      <c r="T26" s="85"/>
      <c r="U26" s="85"/>
      <c r="V26" s="85"/>
    </row>
    <row r="27" spans="2:22" s="99" customFormat="1" ht="15" customHeight="1">
      <c r="B27" s="129"/>
      <c r="C27" s="130"/>
      <c r="D27" s="138"/>
      <c r="E27" s="139"/>
      <c r="F27" s="140"/>
      <c r="G27" s="141"/>
      <c r="H27" s="142"/>
      <c r="I27" s="85"/>
      <c r="J27" s="85"/>
      <c r="K27" s="85"/>
      <c r="L27" s="85"/>
      <c r="M27" s="85"/>
      <c r="N27" s="85"/>
      <c r="O27" s="85"/>
      <c r="P27" s="85"/>
      <c r="Q27" s="85"/>
      <c r="R27" s="85"/>
      <c r="S27" s="85"/>
      <c r="T27" s="85"/>
      <c r="U27" s="85"/>
      <c r="V27" s="85"/>
    </row>
    <row r="28" spans="2:22" s="99" customFormat="1">
      <c r="B28" s="144" t="s">
        <v>108</v>
      </c>
      <c r="C28" s="145"/>
      <c r="D28" s="146"/>
      <c r="E28" s="147"/>
      <c r="F28" s="128"/>
      <c r="G28" s="4"/>
      <c r="H28" s="84"/>
      <c r="I28" s="85"/>
      <c r="J28" s="85"/>
      <c r="K28" s="85"/>
      <c r="L28" s="85"/>
      <c r="M28" s="85"/>
      <c r="N28" s="85"/>
      <c r="O28" s="85"/>
      <c r="P28" s="85"/>
      <c r="Q28" s="85"/>
      <c r="R28" s="85"/>
      <c r="S28" s="85"/>
      <c r="T28" s="85"/>
      <c r="U28" s="85"/>
      <c r="V28" s="85"/>
    </row>
    <row r="29" spans="2:22" s="99" customFormat="1">
      <c r="B29" s="148" t="s">
        <v>109</v>
      </c>
      <c r="C29" s="133">
        <f>($E29/10000)/100*C$21</f>
        <v>0</v>
      </c>
      <c r="D29" s="133">
        <f>($E29/10000)/100*D$21</f>
        <v>0</v>
      </c>
      <c r="E29" s="149">
        <f>((2.81*(1-0.0025))+((2.77/2)*(1-0.0975))+((2.5/2)*(1-0.0481)))/3</f>
        <v>1.7476041666666664</v>
      </c>
      <c r="F29" s="100" t="s">
        <v>110</v>
      </c>
      <c r="G29" s="453" t="s">
        <v>132</v>
      </c>
      <c r="H29" s="84"/>
      <c r="I29" s="85"/>
      <c r="J29" s="85"/>
      <c r="K29" s="85"/>
      <c r="L29" s="85"/>
      <c r="M29" s="85"/>
      <c r="N29" s="85"/>
      <c r="O29" s="85"/>
      <c r="P29" s="85"/>
      <c r="Q29" s="85"/>
      <c r="R29" s="85"/>
      <c r="S29" s="85"/>
      <c r="T29" s="85"/>
      <c r="U29" s="85"/>
      <c r="V29" s="85"/>
    </row>
    <row r="30" spans="2:22" s="99" customFormat="1" ht="12.75" customHeight="1">
      <c r="B30" s="148" t="s">
        <v>112</v>
      </c>
      <c r="C30" s="133">
        <f t="shared" ref="C30:D39" si="2">($E30/10000)/100*C$21</f>
        <v>0</v>
      </c>
      <c r="D30" s="133">
        <f t="shared" si="2"/>
        <v>0</v>
      </c>
      <c r="E30" s="149">
        <f>(((2.31/2)*(1-0.0025))+((2.77/2)*(1-0.0975))+((2.5/2)*(1-0.0481)))/3</f>
        <v>1.1973166666666666</v>
      </c>
      <c r="F30" s="100" t="s">
        <v>110</v>
      </c>
      <c r="G30" s="453"/>
      <c r="H30" s="84"/>
      <c r="I30" s="85"/>
      <c r="J30" s="85"/>
      <c r="K30" s="85"/>
      <c r="L30" s="85"/>
      <c r="M30" s="85"/>
      <c r="N30" s="85"/>
      <c r="O30" s="85"/>
      <c r="P30" s="85"/>
      <c r="Q30" s="85"/>
      <c r="R30" s="85"/>
      <c r="S30" s="85"/>
      <c r="T30" s="85"/>
      <c r="U30" s="85"/>
      <c r="V30" s="85"/>
    </row>
    <row r="31" spans="2:22" s="99" customFormat="1">
      <c r="B31" s="148" t="s">
        <v>113</v>
      </c>
      <c r="C31" s="133">
        <f t="shared" si="2"/>
        <v>0</v>
      </c>
      <c r="D31" s="133">
        <f t="shared" si="2"/>
        <v>0</v>
      </c>
      <c r="E31" s="149">
        <f>11.7*(1-0.0481)</f>
        <v>11.137229999999999</v>
      </c>
      <c r="F31" s="100" t="s">
        <v>110</v>
      </c>
      <c r="G31" s="453"/>
      <c r="H31" s="84"/>
      <c r="I31" s="85"/>
      <c r="J31" s="85"/>
      <c r="K31" s="85"/>
      <c r="L31" s="85"/>
      <c r="M31" s="85"/>
      <c r="N31" s="85"/>
      <c r="O31" s="85"/>
      <c r="P31" s="85"/>
      <c r="Q31" s="85"/>
      <c r="R31" s="85"/>
      <c r="S31" s="85"/>
      <c r="T31" s="85"/>
      <c r="U31" s="85"/>
      <c r="V31" s="85"/>
    </row>
    <row r="32" spans="2:22" s="99" customFormat="1">
      <c r="B32" s="148" t="s">
        <v>114</v>
      </c>
      <c r="C32" s="133">
        <f t="shared" si="2"/>
        <v>0</v>
      </c>
      <c r="D32" s="133">
        <f t="shared" si="2"/>
        <v>0</v>
      </c>
      <c r="E32" s="149">
        <f>(((2.31/2)*(1-0.0025))+((2.5/2)*(1-0.0481)))/2</f>
        <v>1.1709937500000001</v>
      </c>
      <c r="F32" s="100" t="s">
        <v>110</v>
      </c>
      <c r="G32" s="453"/>
      <c r="H32" s="84"/>
      <c r="I32" s="85"/>
      <c r="J32" s="85"/>
      <c r="K32" s="85"/>
      <c r="L32" s="85"/>
      <c r="M32" s="85"/>
      <c r="N32" s="85"/>
      <c r="O32" s="85"/>
      <c r="P32" s="85"/>
      <c r="Q32" s="85"/>
      <c r="R32" s="85"/>
      <c r="S32" s="85"/>
      <c r="T32" s="85"/>
      <c r="U32" s="85"/>
      <c r="V32" s="85"/>
    </row>
    <row r="33" spans="2:22" s="99" customFormat="1">
      <c r="B33" s="148" t="s">
        <v>115</v>
      </c>
      <c r="C33" s="133">
        <f t="shared" si="2"/>
        <v>0</v>
      </c>
      <c r="D33" s="133">
        <f t="shared" si="2"/>
        <v>0</v>
      </c>
      <c r="E33" s="149">
        <f>((36.8*(1-0.0025))+(21*(1-0.0975))+(10.3*(1-0.0481)))/3</f>
        <v>21.82169</v>
      </c>
      <c r="F33" s="100" t="s">
        <v>110</v>
      </c>
      <c r="G33" s="453"/>
      <c r="H33" s="84"/>
      <c r="I33" s="85"/>
      <c r="J33" s="85"/>
      <c r="K33" s="85"/>
      <c r="L33" s="85"/>
      <c r="M33" s="85"/>
      <c r="N33" s="85"/>
      <c r="O33" s="85"/>
      <c r="P33" s="85"/>
      <c r="Q33" s="85"/>
      <c r="R33" s="85"/>
      <c r="S33" s="85"/>
      <c r="T33" s="85"/>
      <c r="U33" s="85"/>
      <c r="V33" s="85"/>
    </row>
    <row r="34" spans="2:22" s="99" customFormat="1">
      <c r="B34" s="148" t="s">
        <v>116</v>
      </c>
      <c r="C34" s="133">
        <f t="shared" si="2"/>
        <v>0</v>
      </c>
      <c r="D34" s="133">
        <f t="shared" si="2"/>
        <v>0</v>
      </c>
      <c r="E34" s="149">
        <f>(((2.31/2)*(1-0.0025))+((2.5/2)*(1-0.0481)))/2</f>
        <v>1.1709937500000001</v>
      </c>
      <c r="F34" s="100" t="s">
        <v>110</v>
      </c>
      <c r="G34" s="453"/>
      <c r="H34" s="84"/>
      <c r="I34" s="85"/>
      <c r="J34" s="85"/>
      <c r="K34" s="85"/>
      <c r="L34" s="85"/>
      <c r="M34" s="85"/>
      <c r="N34" s="85"/>
      <c r="O34" s="85"/>
      <c r="P34" s="85"/>
      <c r="Q34" s="85"/>
      <c r="R34" s="85"/>
      <c r="S34" s="85"/>
      <c r="T34" s="85"/>
      <c r="U34" s="85"/>
      <c r="V34" s="85"/>
    </row>
    <row r="35" spans="2:22" s="99" customFormat="1">
      <c r="B35" s="148" t="s">
        <v>24</v>
      </c>
      <c r="C35" s="133">
        <f t="shared" si="2"/>
        <v>0</v>
      </c>
      <c r="D35" s="133">
        <f t="shared" si="2"/>
        <v>0</v>
      </c>
      <c r="E35" s="149">
        <f>((5.49*(1-0.0025))+(19.8*(1-0.0975))+(9.62*(1-0.0481)))/3</f>
        <v>10.834351</v>
      </c>
      <c r="F35" s="100" t="s">
        <v>110</v>
      </c>
      <c r="G35" s="453"/>
      <c r="H35" s="84"/>
      <c r="I35" s="85"/>
      <c r="J35" s="85"/>
      <c r="K35" s="85"/>
      <c r="L35" s="85"/>
      <c r="M35" s="85"/>
      <c r="N35" s="85"/>
      <c r="O35" s="85"/>
      <c r="P35" s="85"/>
      <c r="Q35" s="85"/>
      <c r="R35" s="85"/>
      <c r="S35" s="85"/>
      <c r="T35" s="85"/>
      <c r="U35" s="85"/>
      <c r="V35" s="85"/>
    </row>
    <row r="36" spans="2:22" s="99" customFormat="1">
      <c r="B36" s="148" t="s">
        <v>117</v>
      </c>
      <c r="C36" s="133">
        <f t="shared" si="2"/>
        <v>0</v>
      </c>
      <c r="D36" s="133">
        <f t="shared" si="2"/>
        <v>0</v>
      </c>
      <c r="E36" s="149">
        <f>((1350*(1-0.0025))+(5690*(1-0.0975))+(1530*(1-0.0481)))/3</f>
        <v>2646.0856666666664</v>
      </c>
      <c r="F36" s="100" t="s">
        <v>110</v>
      </c>
      <c r="G36" s="453"/>
      <c r="H36" s="84"/>
      <c r="I36" s="85"/>
      <c r="J36" s="85"/>
      <c r="K36" s="85"/>
      <c r="L36" s="85"/>
      <c r="M36" s="85"/>
      <c r="N36" s="85"/>
      <c r="O36" s="85"/>
      <c r="P36" s="85"/>
      <c r="Q36" s="85"/>
      <c r="R36" s="85"/>
      <c r="S36" s="85"/>
      <c r="T36" s="85"/>
      <c r="U36" s="85"/>
      <c r="V36" s="85"/>
    </row>
    <row r="37" spans="2:22" s="99" customFormat="1">
      <c r="B37" s="148" t="s">
        <v>118</v>
      </c>
      <c r="C37" s="133">
        <f t="shared" si="2"/>
        <v>0</v>
      </c>
      <c r="D37" s="133">
        <f t="shared" si="2"/>
        <v>0</v>
      </c>
      <c r="E37" s="149">
        <f>(((0.00489/2)*(1-0.0025))+((0.00548/2)*(1-0.0975))+((0.0026/2)*(1-0.0481)))/3</f>
        <v>2.0497358333333338E-3</v>
      </c>
      <c r="F37" s="100" t="s">
        <v>110</v>
      </c>
      <c r="G37" s="453"/>
      <c r="H37" s="84"/>
      <c r="I37" s="85"/>
      <c r="J37" s="85"/>
      <c r="K37" s="85"/>
      <c r="L37" s="85"/>
      <c r="M37" s="85"/>
      <c r="N37" s="85"/>
      <c r="O37" s="85"/>
      <c r="P37" s="85"/>
      <c r="Q37" s="85"/>
      <c r="R37" s="85"/>
      <c r="S37" s="85"/>
      <c r="T37" s="85"/>
      <c r="U37" s="85"/>
      <c r="V37" s="85"/>
    </row>
    <row r="38" spans="2:22" s="99" customFormat="1">
      <c r="B38" s="148" t="s">
        <v>119</v>
      </c>
      <c r="C38" s="133">
        <f t="shared" si="2"/>
        <v>0</v>
      </c>
      <c r="D38" s="133">
        <f t="shared" si="2"/>
        <v>0</v>
      </c>
      <c r="E38" s="149">
        <f>((3.07*(1-0.0025))+((2.77/2)*(1-0.0975))+(9.07*(1-0.0481)))/3</f>
        <v>4.3153401666666662</v>
      </c>
      <c r="F38" s="100" t="s">
        <v>110</v>
      </c>
      <c r="G38" s="453"/>
      <c r="H38" s="84"/>
      <c r="I38" s="85"/>
      <c r="J38" s="85"/>
      <c r="K38" s="85"/>
      <c r="L38" s="85"/>
      <c r="M38" s="85"/>
      <c r="N38" s="85"/>
      <c r="O38" s="85"/>
      <c r="P38" s="85"/>
      <c r="Q38" s="85"/>
      <c r="R38" s="85"/>
      <c r="S38" s="85"/>
      <c r="T38" s="85"/>
      <c r="U38" s="85"/>
      <c r="V38" s="85"/>
    </row>
    <row r="39" spans="2:22" s="99" customFormat="1">
      <c r="B39" s="148" t="s">
        <v>120</v>
      </c>
      <c r="C39" s="133">
        <f t="shared" si="2"/>
        <v>0</v>
      </c>
      <c r="D39" s="133">
        <f t="shared" si="2"/>
        <v>0</v>
      </c>
      <c r="E39" s="149">
        <f>(((2.31/2)*(1-0.0025))+((2.5/2)*(1-0.0481)))/2</f>
        <v>1.1709937500000001</v>
      </c>
      <c r="F39" s="100" t="s">
        <v>110</v>
      </c>
      <c r="G39" s="453"/>
      <c r="H39" s="84"/>
      <c r="I39" s="85"/>
      <c r="J39" s="85"/>
      <c r="K39" s="85"/>
      <c r="L39" s="85"/>
      <c r="M39" s="85"/>
      <c r="N39" s="85"/>
      <c r="O39" s="85"/>
      <c r="P39" s="85"/>
      <c r="Q39" s="85"/>
      <c r="R39" s="85"/>
      <c r="S39" s="85"/>
      <c r="T39" s="85"/>
      <c r="U39" s="85"/>
      <c r="V39" s="85"/>
    </row>
    <row r="40" spans="2:22" s="99" customFormat="1" ht="15" customHeight="1">
      <c r="B40" s="129"/>
      <c r="C40" s="130"/>
      <c r="D40" s="138"/>
      <c r="E40" s="139"/>
      <c r="F40" s="140"/>
      <c r="G40" s="141"/>
      <c r="H40" s="142"/>
      <c r="I40" s="85"/>
      <c r="J40" s="85"/>
      <c r="K40" s="85"/>
      <c r="L40" s="85"/>
      <c r="M40" s="85"/>
      <c r="N40" s="85"/>
      <c r="O40" s="85"/>
      <c r="P40" s="85"/>
      <c r="Q40" s="85"/>
      <c r="R40" s="85"/>
      <c r="S40" s="85"/>
      <c r="T40" s="85"/>
      <c r="U40" s="85"/>
      <c r="V40" s="85"/>
    </row>
    <row r="41" spans="2:22" s="99" customFormat="1">
      <c r="B41" s="145"/>
      <c r="C41" s="146"/>
      <c r="D41" s="146"/>
      <c r="E41" s="147"/>
      <c r="F41" s="128"/>
      <c r="G41" s="128"/>
      <c r="H41" s="84"/>
      <c r="I41" s="85"/>
      <c r="J41" s="85"/>
      <c r="K41" s="85"/>
      <c r="L41" s="85"/>
      <c r="M41" s="85"/>
      <c r="N41" s="85"/>
      <c r="O41" s="85"/>
      <c r="P41" s="85"/>
      <c r="Q41" s="85"/>
      <c r="R41" s="85"/>
      <c r="S41" s="85"/>
      <c r="T41" s="85"/>
      <c r="U41" s="85"/>
      <c r="V41" s="85"/>
    </row>
    <row r="54" ht="27" customHeight="1"/>
  </sheetData>
  <mergeCells count="2">
    <mergeCell ref="G21:G23"/>
    <mergeCell ref="G29:G39"/>
  </mergeCells>
  <conditionalFormatting sqref="C21:E23 F24:H27 D40:H40">
    <cfRule type="cellIs" dxfId="3" priority="8" operator="lessThan">
      <formula>0.005</formula>
    </cfRule>
  </conditionalFormatting>
  <conditionalFormatting sqref="C41:E41">
    <cfRule type="cellIs" dxfId="2" priority="6" operator="lessThan">
      <formula>0.005</formula>
    </cfRule>
  </conditionalFormatting>
  <conditionalFormatting sqref="D24:E28 C26:D26">
    <cfRule type="cellIs" dxfId="1" priority="2" operator="lessThan">
      <formula>0.005</formula>
    </cfRule>
  </conditionalFormatting>
  <conditionalFormatting sqref="E29:E39">
    <cfRule type="cellIs" dxfId="0" priority="3" operator="lessThan">
      <formula>0.005</formula>
    </cfRule>
  </conditionalFormatting>
  <pageMargins left="0.7" right="0.7" top="0.75" bottom="0.75" header="0.3" footer="0.3"/>
  <pageSetup scale="8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3D48D-1729-498F-B2DC-CC8051A0A4E5}">
  <sheetPr>
    <tabColor rgb="FF92D050"/>
  </sheetPr>
  <dimension ref="A3:T98"/>
  <sheetViews>
    <sheetView topLeftCell="C32" zoomScale="150" zoomScaleNormal="150" zoomScaleSheetLayoutView="140" workbookViewId="0">
      <selection activeCell="L46" sqref="L46"/>
    </sheetView>
  </sheetViews>
  <sheetFormatPr defaultColWidth="8.85546875" defaultRowHeight="12.75"/>
  <cols>
    <col min="1" max="1" width="29.5703125" style="2" customWidth="1"/>
    <col min="2" max="2" width="9.85546875" style="2" customWidth="1"/>
    <col min="3" max="4" width="10.140625" style="2" customWidth="1"/>
    <col min="5" max="5" width="12.5703125" style="2" customWidth="1"/>
    <col min="6" max="6" width="10.85546875" style="2" customWidth="1"/>
    <col min="7" max="8" width="8.85546875" style="2"/>
    <col min="9" max="9" width="10.5703125" style="2" customWidth="1"/>
    <col min="10" max="10" width="12" style="2" customWidth="1"/>
    <col min="11" max="11" width="8.85546875" style="2"/>
    <col min="12" max="12" width="10.5703125" style="2" customWidth="1"/>
    <col min="13" max="13" width="11.85546875" style="2" customWidth="1"/>
    <col min="14" max="16384" width="8.85546875" style="2"/>
  </cols>
  <sheetData>
    <row r="3" spans="1:10">
      <c r="A3" s="6" t="s">
        <v>0</v>
      </c>
      <c r="B3" s="7" t="str">
        <f>'1. Step 1 Evaluation'!C2</f>
        <v>U. S. Steel</v>
      </c>
    </row>
    <row r="4" spans="1:10">
      <c r="A4" s="6" t="s">
        <v>2</v>
      </c>
      <c r="B4" s="7" t="str">
        <f>'1. Step 1 Evaluation'!C3</f>
        <v>Edgar Thomson Plant</v>
      </c>
    </row>
    <row r="5" spans="1:10">
      <c r="A5" s="6" t="s">
        <v>4</v>
      </c>
      <c r="B5" s="7" t="str">
        <f>'1. Step 1 Evaluation'!C4</f>
        <v>Slag Recycler Project</v>
      </c>
    </row>
    <row r="6" spans="1:10" ht="9.75" customHeight="1"/>
    <row r="7" spans="1:10">
      <c r="A7" s="8" t="s">
        <v>171</v>
      </c>
    </row>
    <row r="8" spans="1:10">
      <c r="A8" s="9" t="s">
        <v>172</v>
      </c>
    </row>
    <row r="9" spans="1:10">
      <c r="A9" s="10"/>
      <c r="B9" s="11"/>
      <c r="C9" s="11"/>
      <c r="D9" s="11"/>
      <c r="E9" s="11"/>
      <c r="F9" s="11" t="s">
        <v>173</v>
      </c>
      <c r="G9" s="12" t="s">
        <v>162</v>
      </c>
      <c r="H9" s="13"/>
      <c r="I9" s="11" t="s">
        <v>174</v>
      </c>
      <c r="J9" s="11" t="s">
        <v>175</v>
      </c>
    </row>
    <row r="10" spans="1:10">
      <c r="A10" s="14"/>
      <c r="B10" s="15"/>
      <c r="C10" s="15"/>
      <c r="D10" s="15"/>
      <c r="E10" s="15"/>
      <c r="F10" s="15" t="s">
        <v>176</v>
      </c>
      <c r="G10" s="16" t="s">
        <v>86</v>
      </c>
      <c r="H10" s="17"/>
      <c r="I10" s="15" t="s">
        <v>177</v>
      </c>
      <c r="J10" s="15" t="s">
        <v>86</v>
      </c>
    </row>
    <row r="11" spans="1:10">
      <c r="A11" s="14" t="s">
        <v>178</v>
      </c>
      <c r="B11" s="15" t="s">
        <v>179</v>
      </c>
      <c r="C11" s="15" t="s">
        <v>180</v>
      </c>
      <c r="D11" s="15" t="s">
        <v>181</v>
      </c>
      <c r="E11" s="15" t="s">
        <v>182</v>
      </c>
      <c r="F11" s="15" t="s">
        <v>183</v>
      </c>
      <c r="G11" s="11" t="s">
        <v>184</v>
      </c>
      <c r="H11" s="11" t="s">
        <v>185</v>
      </c>
      <c r="I11" s="15" t="s">
        <v>161</v>
      </c>
      <c r="J11" s="15" t="s">
        <v>185</v>
      </c>
    </row>
    <row r="12" spans="1:10" ht="13.5" thickBot="1">
      <c r="A12" s="18"/>
      <c r="B12" s="19"/>
      <c r="C12" s="19"/>
      <c r="D12" s="19"/>
      <c r="E12" s="19" t="s">
        <v>186</v>
      </c>
      <c r="F12" s="19" t="s">
        <v>187</v>
      </c>
      <c r="G12" s="19" t="s">
        <v>188</v>
      </c>
      <c r="H12" s="19" t="s">
        <v>189</v>
      </c>
      <c r="I12" s="19" t="s">
        <v>190</v>
      </c>
      <c r="J12" s="19" t="s">
        <v>182</v>
      </c>
    </row>
    <row r="13" spans="1:10">
      <c r="A13" s="20" t="s">
        <v>191</v>
      </c>
      <c r="B13" s="21">
        <v>1.0999999999999999E-2</v>
      </c>
      <c r="C13" s="22">
        <v>0.30166999999999999</v>
      </c>
      <c r="D13" s="21">
        <f>200000/2000</f>
        <v>100</v>
      </c>
      <c r="E13" s="22">
        <f>(B13*((C13)^0.91)*((D13)^1.02))</f>
        <v>0.40529096039913509</v>
      </c>
      <c r="F13" s="23">
        <f>$B$97</f>
        <v>18610.079999999998</v>
      </c>
      <c r="G13" s="24">
        <f t="shared" ref="G13:G14" si="0">E13*F13</f>
        <v>7542.4971963047356</v>
      </c>
      <c r="H13" s="22">
        <f t="shared" ref="H13:H14" si="1">G13/2000</f>
        <v>3.7712485981523676</v>
      </c>
      <c r="I13" s="21">
        <v>90</v>
      </c>
      <c r="J13" s="22">
        <f t="shared" ref="J13:J14" si="2">H13*((100-I13)/100)</f>
        <v>0.3771248598152368</v>
      </c>
    </row>
    <row r="14" spans="1:10">
      <c r="A14" s="20" t="s">
        <v>192</v>
      </c>
      <c r="B14" s="21">
        <v>1.0999999999999999E-2</v>
      </c>
      <c r="C14" s="22">
        <v>0.30166999999999999</v>
      </c>
      <c r="D14" s="21">
        <f>150000/2000</f>
        <v>75</v>
      </c>
      <c r="E14" s="22">
        <f t="shared" ref="E14" si="3">(B14*((C14)^0.91)*((D14)^1.02))</f>
        <v>0.30222431785344439</v>
      </c>
      <c r="F14" s="23">
        <f>$F$13</f>
        <v>18610.079999999998</v>
      </c>
      <c r="G14" s="24">
        <f t="shared" si="0"/>
        <v>5624.4187331980274</v>
      </c>
      <c r="H14" s="22">
        <f t="shared" si="1"/>
        <v>2.8122093665990135</v>
      </c>
      <c r="I14" s="21">
        <v>90</v>
      </c>
      <c r="J14" s="22">
        <f t="shared" si="2"/>
        <v>0.28122093665990139</v>
      </c>
    </row>
    <row r="15" spans="1:10">
      <c r="A15" s="334" t="s">
        <v>193</v>
      </c>
      <c r="B15" s="26"/>
      <c r="C15" s="26"/>
      <c r="D15" s="26"/>
      <c r="E15" s="27"/>
      <c r="F15" s="28">
        <f>SUM(F13:F14)</f>
        <v>37220.159999999996</v>
      </c>
      <c r="G15" s="29">
        <f>SUM(G13:G14)</f>
        <v>13166.915929502764</v>
      </c>
      <c r="H15" s="30">
        <f>SUM(H13:H14)</f>
        <v>6.5834579647513811</v>
      </c>
      <c r="I15" s="26"/>
      <c r="J15" s="333">
        <f>SUM(J13:J14)</f>
        <v>0.65834579647513825</v>
      </c>
    </row>
    <row r="16" spans="1:10">
      <c r="F16" s="32"/>
    </row>
    <row r="17" spans="1:20">
      <c r="A17" s="9" t="s">
        <v>57</v>
      </c>
    </row>
    <row r="18" spans="1:20">
      <c r="A18" s="10"/>
      <c r="B18" s="11"/>
      <c r="C18" s="11"/>
      <c r="D18" s="11"/>
      <c r="E18" s="11"/>
      <c r="F18" s="11" t="s">
        <v>173</v>
      </c>
      <c r="G18" s="12" t="s">
        <v>162</v>
      </c>
      <c r="H18" s="13"/>
      <c r="I18" s="11" t="s">
        <v>174</v>
      </c>
      <c r="J18" s="11" t="s">
        <v>175</v>
      </c>
    </row>
    <row r="19" spans="1:20">
      <c r="A19" s="14"/>
      <c r="B19" s="15"/>
      <c r="C19" s="15"/>
      <c r="D19" s="419"/>
      <c r="E19" s="15"/>
      <c r="F19" s="419" t="s">
        <v>176</v>
      </c>
      <c r="G19" s="16" t="s">
        <v>86</v>
      </c>
      <c r="H19" s="429"/>
      <c r="I19" s="15" t="s">
        <v>177</v>
      </c>
      <c r="J19" s="419" t="s">
        <v>86</v>
      </c>
      <c r="L19" s="32"/>
      <c r="N19" s="32"/>
      <c r="P19" s="32"/>
      <c r="T19" s="32"/>
    </row>
    <row r="20" spans="1:20">
      <c r="A20" s="14" t="s">
        <v>178</v>
      </c>
      <c r="B20" s="15" t="s">
        <v>179</v>
      </c>
      <c r="C20" s="15" t="s">
        <v>180</v>
      </c>
      <c r="D20" s="15" t="s">
        <v>181</v>
      </c>
      <c r="E20" s="15" t="s">
        <v>182</v>
      </c>
      <c r="F20" s="15" t="s">
        <v>183</v>
      </c>
      <c r="G20" s="11" t="s">
        <v>184</v>
      </c>
      <c r="H20" s="11" t="s">
        <v>185</v>
      </c>
      <c r="I20" s="15" t="s">
        <v>161</v>
      </c>
      <c r="J20" s="15" t="s">
        <v>185</v>
      </c>
    </row>
    <row r="21" spans="1:20" ht="13.5" thickBot="1">
      <c r="A21" s="18"/>
      <c r="B21" s="19"/>
      <c r="C21" s="19"/>
      <c r="D21" s="19"/>
      <c r="E21" s="19" t="s">
        <v>186</v>
      </c>
      <c r="F21" s="19" t="s">
        <v>187</v>
      </c>
      <c r="G21" s="19" t="s">
        <v>188</v>
      </c>
      <c r="H21" s="19" t="s">
        <v>189</v>
      </c>
      <c r="I21" s="19" t="s">
        <v>190</v>
      </c>
      <c r="J21" s="19" t="s">
        <v>182</v>
      </c>
    </row>
    <row r="22" spans="1:20">
      <c r="A22" s="20" t="s">
        <v>191</v>
      </c>
      <c r="B22" s="21">
        <v>2.2000000000000001E-3</v>
      </c>
      <c r="C22" s="22">
        <f>C13</f>
        <v>0.30166999999999999</v>
      </c>
      <c r="D22" s="21">
        <f>D13</f>
        <v>100</v>
      </c>
      <c r="E22" s="33">
        <f>(B22*((C22)^0.91)*((D22)^1.02))</f>
        <v>8.1058192079827035E-2</v>
      </c>
      <c r="F22" s="23">
        <f>F13</f>
        <v>18610.079999999998</v>
      </c>
      <c r="G22" s="24">
        <f t="shared" ref="G22:G23" si="4">E22*F22</f>
        <v>1508.4994392609474</v>
      </c>
      <c r="H22" s="22">
        <f t="shared" ref="H22:H23" si="5">G22/2000</f>
        <v>0.75424971963047371</v>
      </c>
      <c r="I22" s="21">
        <v>90</v>
      </c>
      <c r="J22" s="33">
        <f t="shared" ref="J22:J23" si="6">H22*((100-I22)/100)</f>
        <v>7.5424971963047371E-2</v>
      </c>
    </row>
    <row r="23" spans="1:20">
      <c r="A23" s="20" t="s">
        <v>192</v>
      </c>
      <c r="B23" s="21">
        <v>2.2000000000000001E-3</v>
      </c>
      <c r="C23" s="22">
        <f>C14</f>
        <v>0.30166999999999999</v>
      </c>
      <c r="D23" s="21">
        <f>D14</f>
        <v>75</v>
      </c>
      <c r="E23" s="33">
        <f t="shared" ref="E23" si="7">(B23*((C23)^0.91)*((D23)^1.02))</f>
        <v>6.0444863570688886E-2</v>
      </c>
      <c r="F23" s="23">
        <f>F14</f>
        <v>18610.079999999998</v>
      </c>
      <c r="G23" s="24">
        <f t="shared" si="4"/>
        <v>1124.8837466396058</v>
      </c>
      <c r="H23" s="22">
        <f t="shared" si="5"/>
        <v>0.56244187331980289</v>
      </c>
      <c r="I23" s="21">
        <v>90</v>
      </c>
      <c r="J23" s="33">
        <f t="shared" si="6"/>
        <v>5.6244187331980292E-2</v>
      </c>
    </row>
    <row r="24" spans="1:20">
      <c r="A24" s="334" t="s">
        <v>193</v>
      </c>
      <c r="B24" s="26"/>
      <c r="C24" s="26"/>
      <c r="D24" s="26"/>
      <c r="E24" s="27"/>
      <c r="F24" s="28">
        <f>SUM(F22:F23)</f>
        <v>37220.159999999996</v>
      </c>
      <c r="G24" s="29">
        <f>SUM(G22:G23)</f>
        <v>2633.3831859005531</v>
      </c>
      <c r="H24" s="30">
        <f>SUM(H22:H23)</f>
        <v>1.3166915929502765</v>
      </c>
      <c r="I24" s="26"/>
      <c r="J24" s="333">
        <f>SUM(J22:J23)</f>
        <v>0.13166915929502765</v>
      </c>
    </row>
    <row r="25" spans="1:20">
      <c r="F25" s="32"/>
    </row>
    <row r="26" spans="1:20">
      <c r="A26" s="9" t="s">
        <v>58</v>
      </c>
    </row>
    <row r="27" spans="1:20">
      <c r="A27" s="10"/>
      <c r="B27" s="11"/>
      <c r="C27" s="11"/>
      <c r="D27" s="11"/>
      <c r="E27" s="11"/>
      <c r="F27" s="11" t="s">
        <v>173</v>
      </c>
      <c r="G27" s="12" t="s">
        <v>162</v>
      </c>
      <c r="H27" s="13"/>
      <c r="I27" s="11" t="s">
        <v>174</v>
      </c>
      <c r="J27" s="11" t="s">
        <v>175</v>
      </c>
    </row>
    <row r="28" spans="1:20">
      <c r="A28" s="14"/>
      <c r="B28" s="15"/>
      <c r="C28" s="15"/>
      <c r="D28" s="15"/>
      <c r="E28" s="15"/>
      <c r="F28" s="15" t="s">
        <v>176</v>
      </c>
      <c r="G28" s="16" t="s">
        <v>86</v>
      </c>
      <c r="H28" s="17"/>
      <c r="I28" s="15" t="s">
        <v>177</v>
      </c>
      <c r="J28" s="15" t="s">
        <v>86</v>
      </c>
    </row>
    <row r="29" spans="1:20">
      <c r="A29" s="14" t="s">
        <v>178</v>
      </c>
      <c r="B29" s="15" t="s">
        <v>179</v>
      </c>
      <c r="C29" s="15" t="s">
        <v>180</v>
      </c>
      <c r="D29" s="15" t="s">
        <v>181</v>
      </c>
      <c r="E29" s="15" t="s">
        <v>182</v>
      </c>
      <c r="F29" s="15" t="s">
        <v>183</v>
      </c>
      <c r="G29" s="11" t="s">
        <v>184</v>
      </c>
      <c r="H29" s="11" t="s">
        <v>185</v>
      </c>
      <c r="I29" s="15" t="s">
        <v>161</v>
      </c>
      <c r="J29" s="15" t="s">
        <v>185</v>
      </c>
    </row>
    <row r="30" spans="1:20" ht="13.5" thickBot="1">
      <c r="A30" s="18"/>
      <c r="B30" s="19"/>
      <c r="C30" s="19"/>
      <c r="D30" s="19"/>
      <c r="E30" s="19" t="s">
        <v>186</v>
      </c>
      <c r="F30" s="19" t="s">
        <v>187</v>
      </c>
      <c r="G30" s="19" t="s">
        <v>188</v>
      </c>
      <c r="H30" s="19" t="s">
        <v>189</v>
      </c>
      <c r="I30" s="19" t="s">
        <v>190</v>
      </c>
      <c r="J30" s="19" t="s">
        <v>182</v>
      </c>
    </row>
    <row r="31" spans="1:20">
      <c r="A31" s="20" t="s">
        <v>191</v>
      </c>
      <c r="B31" s="21">
        <v>5.4000000000000001E-4</v>
      </c>
      <c r="C31" s="22">
        <f>C22</f>
        <v>0.30166999999999999</v>
      </c>
      <c r="D31" s="21">
        <f>D22</f>
        <v>100</v>
      </c>
      <c r="E31" s="33">
        <f>(B31*((C31)^0.91)*((D31)^1.02))</f>
        <v>1.9896101692321179E-2</v>
      </c>
      <c r="F31" s="23">
        <f>F22</f>
        <v>18610.079999999998</v>
      </c>
      <c r="G31" s="24">
        <f t="shared" ref="G31:G32" si="8">E31*F31</f>
        <v>370.26804418223247</v>
      </c>
      <c r="H31" s="22">
        <f t="shared" ref="H31:H32" si="9">G31/2000</f>
        <v>0.18513402209111623</v>
      </c>
      <c r="I31" s="21">
        <v>90</v>
      </c>
      <c r="J31" s="33">
        <f t="shared" ref="J31:J32" si="10">H31*((100-I31)/100)</f>
        <v>1.8513402209111626E-2</v>
      </c>
    </row>
    <row r="32" spans="1:20">
      <c r="A32" s="20" t="s">
        <v>192</v>
      </c>
      <c r="B32" s="21">
        <v>5.4000000000000001E-4</v>
      </c>
      <c r="C32" s="22">
        <f>C23</f>
        <v>0.30166999999999999</v>
      </c>
      <c r="D32" s="21">
        <f>D23</f>
        <v>75</v>
      </c>
      <c r="E32" s="33">
        <f t="shared" ref="E32" si="11">(B32*((C32)^0.91)*((D32)^1.02))</f>
        <v>1.4836466512805452E-2</v>
      </c>
      <c r="F32" s="23">
        <f>F23</f>
        <v>18610.079999999998</v>
      </c>
      <c r="G32" s="24">
        <f t="shared" si="8"/>
        <v>276.10782872063044</v>
      </c>
      <c r="H32" s="22">
        <f t="shared" si="9"/>
        <v>0.13805391436031522</v>
      </c>
      <c r="I32" s="21">
        <v>90</v>
      </c>
      <c r="J32" s="33">
        <f t="shared" si="10"/>
        <v>1.3805391436031524E-2</v>
      </c>
      <c r="N32" s="34"/>
    </row>
    <row r="33" spans="1:13">
      <c r="A33" s="334" t="s">
        <v>193</v>
      </c>
      <c r="B33" s="27"/>
      <c r="C33" s="26"/>
      <c r="D33" s="26"/>
      <c r="E33" s="27"/>
      <c r="F33" s="28">
        <f>SUM(F31:F32)</f>
        <v>37220.159999999996</v>
      </c>
      <c r="G33" s="29">
        <f>SUM(G31:G32)</f>
        <v>646.37587290286297</v>
      </c>
      <c r="H33" s="30">
        <f>SUM(H31:H32)</f>
        <v>0.32318793645143146</v>
      </c>
      <c r="I33" s="26"/>
      <c r="J33" s="333">
        <f>SUM(J31:J32)</f>
        <v>3.2318793645143146E-2</v>
      </c>
    </row>
    <row r="34" spans="1:13">
      <c r="E34" s="32"/>
    </row>
    <row r="35" spans="1:13">
      <c r="E35" s="32"/>
    </row>
    <row r="36" spans="1:13">
      <c r="A36" s="8" t="s">
        <v>194</v>
      </c>
    </row>
    <row r="37" spans="1:13">
      <c r="A37" s="9" t="s">
        <v>172</v>
      </c>
    </row>
    <row r="38" spans="1:13">
      <c r="A38" s="10"/>
      <c r="B38" s="11"/>
      <c r="C38" s="11"/>
      <c r="D38" s="11"/>
      <c r="E38" s="11"/>
      <c r="F38" s="11"/>
      <c r="G38" s="11"/>
      <c r="H38" s="11" t="s">
        <v>173</v>
      </c>
      <c r="I38" s="12" t="s">
        <v>162</v>
      </c>
      <c r="J38" s="13"/>
      <c r="K38" s="11" t="s">
        <v>174</v>
      </c>
      <c r="L38" s="11" t="s">
        <v>175</v>
      </c>
    </row>
    <row r="39" spans="1:13">
      <c r="A39" s="14"/>
      <c r="B39" s="15"/>
      <c r="C39" s="15"/>
      <c r="D39" s="15"/>
      <c r="E39" s="15"/>
      <c r="F39" s="15"/>
      <c r="G39" s="15"/>
      <c r="H39" s="15" t="s">
        <v>176</v>
      </c>
      <c r="I39" s="16" t="s">
        <v>86</v>
      </c>
      <c r="J39" s="17"/>
      <c r="K39" s="15" t="s">
        <v>177</v>
      </c>
      <c r="L39" s="15" t="s">
        <v>86</v>
      </c>
    </row>
    <row r="40" spans="1:13">
      <c r="A40" s="14" t="s">
        <v>178</v>
      </c>
      <c r="B40" s="15" t="s">
        <v>179</v>
      </c>
      <c r="C40" s="15" t="s">
        <v>195</v>
      </c>
      <c r="D40" s="15" t="s">
        <v>181</v>
      </c>
      <c r="E40" s="15" t="s">
        <v>196</v>
      </c>
      <c r="F40" s="15" t="s">
        <v>197</v>
      </c>
      <c r="G40" s="15" t="s">
        <v>182</v>
      </c>
      <c r="H40" s="15" t="s">
        <v>183</v>
      </c>
      <c r="I40" s="11" t="s">
        <v>184</v>
      </c>
      <c r="J40" s="11" t="s">
        <v>185</v>
      </c>
      <c r="K40" s="15" t="s">
        <v>161</v>
      </c>
      <c r="L40" s="15" t="s">
        <v>185</v>
      </c>
    </row>
    <row r="41" spans="1:13" ht="13.5" thickBot="1">
      <c r="A41" s="18"/>
      <c r="B41" s="19"/>
      <c r="C41" s="19"/>
      <c r="D41" s="19"/>
      <c r="E41" s="19"/>
      <c r="F41" s="19"/>
      <c r="G41" s="19"/>
      <c r="H41" s="19" t="s">
        <v>187</v>
      </c>
      <c r="I41" s="19" t="s">
        <v>188</v>
      </c>
      <c r="J41" s="19" t="s">
        <v>189</v>
      </c>
      <c r="K41" s="19" t="s">
        <v>190</v>
      </c>
      <c r="L41" s="19" t="s">
        <v>182</v>
      </c>
    </row>
    <row r="42" spans="1:13">
      <c r="A42" s="20" t="s">
        <v>191</v>
      </c>
      <c r="B42" s="21">
        <v>4.9000000000000004</v>
      </c>
      <c r="C42" s="21">
        <v>5.3</v>
      </c>
      <c r="D42" s="21">
        <f>200000/2000</f>
        <v>100</v>
      </c>
      <c r="E42" s="21">
        <v>0.7</v>
      </c>
      <c r="F42" s="21">
        <v>0.45</v>
      </c>
      <c r="G42" s="22">
        <f>B42*((C42/12)^E42)*((D42/3)^F42)</f>
        <v>13.398548476625086</v>
      </c>
      <c r="H42" s="23">
        <f>$B$98</f>
        <v>2326.2599999999998</v>
      </c>
      <c r="I42" s="24">
        <f t="shared" ref="I42:I45" si="12">G42*H42</f>
        <v>31168.50737923387</v>
      </c>
      <c r="J42" s="23">
        <f t="shared" ref="J42:J45" si="13">I42/2000</f>
        <v>15.584253689616935</v>
      </c>
      <c r="K42" s="21">
        <v>0</v>
      </c>
      <c r="L42" s="35">
        <f t="shared" ref="L42:L45" si="14">J42*((100-K42)/100)</f>
        <v>15.584253689616935</v>
      </c>
      <c r="M42" s="32"/>
    </row>
    <row r="43" spans="1:13">
      <c r="A43" s="20" t="s">
        <v>192</v>
      </c>
      <c r="B43" s="21">
        <v>4.9000000000000004</v>
      </c>
      <c r="C43" s="21">
        <v>5.3</v>
      </c>
      <c r="D43" s="21">
        <f>150000/2000</f>
        <v>75</v>
      </c>
      <c r="E43" s="21">
        <v>0.7</v>
      </c>
      <c r="F43" s="21">
        <v>0.45</v>
      </c>
      <c r="G43" s="22">
        <f t="shared" ref="G43:G45" si="15">B43*((C43/12)^E43)*((D43/3)^F43)</f>
        <v>11.771595232331768</v>
      </c>
      <c r="H43" s="23">
        <f>$H$42</f>
        <v>2326.2599999999998</v>
      </c>
      <c r="I43" s="24">
        <f t="shared" si="12"/>
        <v>27383.791125164094</v>
      </c>
      <c r="J43" s="23">
        <f t="shared" si="13"/>
        <v>13.691895562582047</v>
      </c>
      <c r="K43" s="21">
        <v>0</v>
      </c>
      <c r="L43" s="35">
        <f t="shared" si="14"/>
        <v>13.691895562582047</v>
      </c>
      <c r="M43" s="32"/>
    </row>
    <row r="44" spans="1:13" hidden="1">
      <c r="A44" s="20" t="s">
        <v>191</v>
      </c>
      <c r="B44" s="21">
        <v>4.9000000000000004</v>
      </c>
      <c r="C44" s="21">
        <v>6</v>
      </c>
      <c r="D44" s="21">
        <f>200000/2000</f>
        <v>100</v>
      </c>
      <c r="E44" s="21">
        <v>0.7</v>
      </c>
      <c r="F44" s="21">
        <v>0.45</v>
      </c>
      <c r="G44" s="22">
        <f t="shared" si="15"/>
        <v>14.614047629289653</v>
      </c>
      <c r="H44" s="23"/>
      <c r="I44" s="24">
        <f t="shared" si="12"/>
        <v>0</v>
      </c>
      <c r="J44" s="23">
        <f t="shared" si="13"/>
        <v>0</v>
      </c>
      <c r="K44" s="21">
        <v>90</v>
      </c>
      <c r="L44" s="35">
        <f t="shared" si="14"/>
        <v>0</v>
      </c>
      <c r="M44" s="32"/>
    </row>
    <row r="45" spans="1:13" hidden="1">
      <c r="A45" s="20" t="s">
        <v>192</v>
      </c>
      <c r="B45" s="21">
        <v>4.9000000000000004</v>
      </c>
      <c r="C45" s="21">
        <v>6</v>
      </c>
      <c r="D45" s="21">
        <f>150000/2000</f>
        <v>75</v>
      </c>
      <c r="E45" s="21">
        <v>0.7</v>
      </c>
      <c r="F45" s="21">
        <v>0.45</v>
      </c>
      <c r="G45" s="22">
        <f t="shared" si="15"/>
        <v>12.839499270994736</v>
      </c>
      <c r="H45" s="23"/>
      <c r="I45" s="24">
        <f t="shared" si="12"/>
        <v>0</v>
      </c>
      <c r="J45" s="23">
        <f t="shared" si="13"/>
        <v>0</v>
      </c>
      <c r="K45" s="21">
        <v>90</v>
      </c>
      <c r="L45" s="35">
        <f t="shared" si="14"/>
        <v>0</v>
      </c>
      <c r="M45" s="32"/>
    </row>
    <row r="46" spans="1:13">
      <c r="A46" s="334" t="s">
        <v>193</v>
      </c>
      <c r="B46" s="26"/>
      <c r="C46" s="26"/>
      <c r="D46" s="26"/>
      <c r="E46" s="26"/>
      <c r="F46" s="26"/>
      <c r="G46" s="27"/>
      <c r="H46" s="28">
        <f>SUM(H42:H45)</f>
        <v>4652.5199999999995</v>
      </c>
      <c r="I46" s="29">
        <f>SUM(I42:I45)</f>
        <v>58552.298504397964</v>
      </c>
      <c r="J46" s="29">
        <f>SUM(J42:J45)</f>
        <v>29.276149252198984</v>
      </c>
      <c r="K46" s="26"/>
      <c r="L46" s="333">
        <f>SUM(L42:L45)</f>
        <v>29.276149252198984</v>
      </c>
    </row>
    <row r="48" spans="1:13">
      <c r="A48" s="9" t="s">
        <v>57</v>
      </c>
    </row>
    <row r="49" spans="1:12">
      <c r="A49" s="10"/>
      <c r="B49" s="11"/>
      <c r="C49" s="11"/>
      <c r="D49" s="11"/>
      <c r="E49" s="11"/>
      <c r="F49" s="11"/>
      <c r="G49" s="11"/>
      <c r="H49" s="11" t="s">
        <v>173</v>
      </c>
      <c r="I49" s="12" t="s">
        <v>162</v>
      </c>
      <c r="J49" s="13"/>
      <c r="K49" s="11" t="s">
        <v>174</v>
      </c>
      <c r="L49" s="11" t="s">
        <v>175</v>
      </c>
    </row>
    <row r="50" spans="1:12">
      <c r="A50" s="14"/>
      <c r="B50" s="15"/>
      <c r="C50" s="15"/>
      <c r="D50" s="15"/>
      <c r="E50" s="15"/>
      <c r="F50" s="15"/>
      <c r="G50" s="15"/>
      <c r="H50" s="15" t="s">
        <v>176</v>
      </c>
      <c r="I50" s="16" t="s">
        <v>86</v>
      </c>
      <c r="J50" s="17"/>
      <c r="K50" s="15" t="s">
        <v>177</v>
      </c>
      <c r="L50" s="15" t="s">
        <v>86</v>
      </c>
    </row>
    <row r="51" spans="1:12">
      <c r="A51" s="14" t="s">
        <v>178</v>
      </c>
      <c r="B51" s="15" t="s">
        <v>179</v>
      </c>
      <c r="C51" s="15" t="s">
        <v>195</v>
      </c>
      <c r="D51" s="15" t="s">
        <v>181</v>
      </c>
      <c r="E51" s="15" t="s">
        <v>196</v>
      </c>
      <c r="F51" s="15" t="s">
        <v>197</v>
      </c>
      <c r="G51" s="15" t="s">
        <v>182</v>
      </c>
      <c r="H51" s="15" t="s">
        <v>183</v>
      </c>
      <c r="I51" s="11" t="s">
        <v>184</v>
      </c>
      <c r="J51" s="11" t="s">
        <v>185</v>
      </c>
      <c r="K51" s="15" t="s">
        <v>161</v>
      </c>
      <c r="L51" s="15" t="s">
        <v>185</v>
      </c>
    </row>
    <row r="52" spans="1:12" ht="13.5" thickBot="1">
      <c r="A52" s="18"/>
      <c r="B52" s="19"/>
      <c r="C52" s="19"/>
      <c r="D52" s="19"/>
      <c r="E52" s="19"/>
      <c r="F52" s="19"/>
      <c r="G52" s="19"/>
      <c r="H52" s="19" t="s">
        <v>187</v>
      </c>
      <c r="I52" s="19" t="s">
        <v>188</v>
      </c>
      <c r="J52" s="19" t="s">
        <v>189</v>
      </c>
      <c r="K52" s="19" t="s">
        <v>190</v>
      </c>
      <c r="L52" s="19" t="s">
        <v>182</v>
      </c>
    </row>
    <row r="53" spans="1:12">
      <c r="A53" s="20" t="s">
        <v>191</v>
      </c>
      <c r="B53" s="21">
        <v>1.5</v>
      </c>
      <c r="C53" s="21">
        <f>C42</f>
        <v>5.3</v>
      </c>
      <c r="D53" s="21">
        <f t="shared" ref="C53:D56" si="16">D42</f>
        <v>100</v>
      </c>
      <c r="E53" s="21">
        <v>0.9</v>
      </c>
      <c r="F53" s="21">
        <f>F42</f>
        <v>0.45</v>
      </c>
      <c r="G53" s="22">
        <f>B53*((C53/12)^E53)*((D53/3)^F53)</f>
        <v>3.483147418347829</v>
      </c>
      <c r="H53" s="23">
        <f>H42</f>
        <v>2326.2599999999998</v>
      </c>
      <c r="I53" s="24">
        <f t="shared" ref="I53:I56" si="17">G53*H53</f>
        <v>8102.7065134058203</v>
      </c>
      <c r="J53" s="23">
        <f t="shared" ref="J53:J56" si="18">I53/2000</f>
        <v>4.0513532567029102</v>
      </c>
      <c r="K53" s="21">
        <f>K42</f>
        <v>0</v>
      </c>
      <c r="L53" s="35">
        <f t="shared" ref="L53:L56" si="19">J53*((100-K53)/100)</f>
        <v>4.0513532567029102</v>
      </c>
    </row>
    <row r="54" spans="1:12" ht="27" customHeight="1">
      <c r="A54" s="20" t="s">
        <v>192</v>
      </c>
      <c r="B54" s="21">
        <v>1.5</v>
      </c>
      <c r="C54" s="21">
        <f t="shared" si="16"/>
        <v>5.3</v>
      </c>
      <c r="D54" s="21">
        <f t="shared" si="16"/>
        <v>75</v>
      </c>
      <c r="E54" s="21">
        <v>0.9</v>
      </c>
      <c r="F54" s="21">
        <f>F43</f>
        <v>0.45</v>
      </c>
      <c r="G54" s="22">
        <f t="shared" ref="G54:G56" si="20">B54*((C54/12)^E54)*((D54/3)^F54)</f>
        <v>3.0601972754633722</v>
      </c>
      <c r="H54" s="23">
        <f>H43</f>
        <v>2326.2599999999998</v>
      </c>
      <c r="I54" s="24">
        <f t="shared" si="17"/>
        <v>7118.8145140194238</v>
      </c>
      <c r="J54" s="23">
        <f t="shared" si="18"/>
        <v>3.5594072570097119</v>
      </c>
      <c r="K54" s="21">
        <f>K43</f>
        <v>0</v>
      </c>
      <c r="L54" s="35">
        <f t="shared" si="19"/>
        <v>3.5594072570097119</v>
      </c>
    </row>
    <row r="55" spans="1:12" hidden="1">
      <c r="A55" s="20" t="s">
        <v>191</v>
      </c>
      <c r="B55" s="21">
        <v>1.5</v>
      </c>
      <c r="C55" s="21">
        <f t="shared" si="16"/>
        <v>6</v>
      </c>
      <c r="D55" s="21">
        <f t="shared" si="16"/>
        <v>100</v>
      </c>
      <c r="E55" s="21">
        <v>0.9</v>
      </c>
      <c r="F55" s="21">
        <f>F44</f>
        <v>0.45</v>
      </c>
      <c r="G55" s="22">
        <f t="shared" si="20"/>
        <v>3.8945716517493345</v>
      </c>
      <c r="H55" s="23">
        <f>H44</f>
        <v>0</v>
      </c>
      <c r="I55" s="24">
        <f t="shared" si="17"/>
        <v>0</v>
      </c>
      <c r="J55" s="23">
        <f t="shared" si="18"/>
        <v>0</v>
      </c>
      <c r="K55" s="21">
        <f>K44</f>
        <v>90</v>
      </c>
      <c r="L55" s="35">
        <f t="shared" si="19"/>
        <v>0</v>
      </c>
    </row>
    <row r="56" spans="1:12" hidden="1">
      <c r="A56" s="20" t="s">
        <v>192</v>
      </c>
      <c r="B56" s="21">
        <v>1.5</v>
      </c>
      <c r="C56" s="21">
        <f t="shared" si="16"/>
        <v>6</v>
      </c>
      <c r="D56" s="21">
        <f t="shared" si="16"/>
        <v>75</v>
      </c>
      <c r="E56" s="21">
        <v>0.9</v>
      </c>
      <c r="F56" s="21">
        <f>F45</f>
        <v>0.45</v>
      </c>
      <c r="G56" s="22">
        <f t="shared" si="20"/>
        <v>3.4216632620830536</v>
      </c>
      <c r="H56" s="23">
        <f>H45</f>
        <v>0</v>
      </c>
      <c r="I56" s="24">
        <f t="shared" si="17"/>
        <v>0</v>
      </c>
      <c r="J56" s="23">
        <f t="shared" si="18"/>
        <v>0</v>
      </c>
      <c r="K56" s="21">
        <f>K45</f>
        <v>90</v>
      </c>
      <c r="L56" s="35">
        <f t="shared" si="19"/>
        <v>0</v>
      </c>
    </row>
    <row r="57" spans="1:12">
      <c r="A57" s="334" t="s">
        <v>193</v>
      </c>
      <c r="B57" s="26"/>
      <c r="C57" s="26"/>
      <c r="D57" s="26"/>
      <c r="E57" s="26"/>
      <c r="F57" s="26"/>
      <c r="G57" s="27"/>
      <c r="H57" s="28">
        <f>SUM(H53:H56)</f>
        <v>4652.5199999999995</v>
      </c>
      <c r="I57" s="29">
        <f>SUM(I53:I56)</f>
        <v>15221.521027425244</v>
      </c>
      <c r="J57" s="29">
        <f>SUM(J53:J56)</f>
        <v>7.6107605137126217</v>
      </c>
      <c r="K57" s="26"/>
      <c r="L57" s="333">
        <f>SUM(L53:L56)</f>
        <v>7.6107605137126217</v>
      </c>
    </row>
    <row r="59" spans="1:12">
      <c r="A59" s="9" t="s">
        <v>58</v>
      </c>
    </row>
    <row r="60" spans="1:12">
      <c r="A60" s="10"/>
      <c r="B60" s="11"/>
      <c r="C60" s="11"/>
      <c r="D60" s="11"/>
      <c r="E60" s="11"/>
      <c r="F60" s="11"/>
      <c r="G60" s="11"/>
      <c r="H60" s="11" t="s">
        <v>173</v>
      </c>
      <c r="I60" s="12" t="s">
        <v>162</v>
      </c>
      <c r="J60" s="13"/>
      <c r="K60" s="11" t="s">
        <v>174</v>
      </c>
      <c r="L60" s="11" t="s">
        <v>175</v>
      </c>
    </row>
    <row r="61" spans="1:12">
      <c r="A61" s="14"/>
      <c r="B61" s="15"/>
      <c r="C61" s="15"/>
      <c r="D61" s="15"/>
      <c r="E61" s="15"/>
      <c r="F61" s="15"/>
      <c r="G61" s="15"/>
      <c r="H61" s="15" t="s">
        <v>176</v>
      </c>
      <c r="I61" s="16" t="s">
        <v>86</v>
      </c>
      <c r="J61" s="17"/>
      <c r="K61" s="15" t="s">
        <v>177</v>
      </c>
      <c r="L61" s="15" t="s">
        <v>86</v>
      </c>
    </row>
    <row r="62" spans="1:12">
      <c r="A62" s="14" t="s">
        <v>178</v>
      </c>
      <c r="B62" s="15" t="s">
        <v>179</v>
      </c>
      <c r="C62" s="15" t="s">
        <v>195</v>
      </c>
      <c r="D62" s="15" t="s">
        <v>181</v>
      </c>
      <c r="E62" s="15" t="s">
        <v>196</v>
      </c>
      <c r="F62" s="15" t="s">
        <v>197</v>
      </c>
      <c r="G62" s="15" t="s">
        <v>182</v>
      </c>
      <c r="H62" s="15" t="s">
        <v>183</v>
      </c>
      <c r="I62" s="11" t="s">
        <v>184</v>
      </c>
      <c r="J62" s="11" t="s">
        <v>185</v>
      </c>
      <c r="K62" s="15" t="s">
        <v>161</v>
      </c>
      <c r="L62" s="15" t="s">
        <v>185</v>
      </c>
    </row>
    <row r="63" spans="1:12" ht="13.5" thickBot="1">
      <c r="A63" s="18"/>
      <c r="B63" s="19"/>
      <c r="C63" s="19"/>
      <c r="D63" s="19"/>
      <c r="E63" s="19"/>
      <c r="F63" s="19"/>
      <c r="G63" s="19"/>
      <c r="H63" s="19" t="s">
        <v>187</v>
      </c>
      <c r="I63" s="19" t="s">
        <v>188</v>
      </c>
      <c r="J63" s="19" t="s">
        <v>189</v>
      </c>
      <c r="K63" s="19" t="s">
        <v>190</v>
      </c>
      <c r="L63" s="19" t="s">
        <v>182</v>
      </c>
    </row>
    <row r="64" spans="1:12">
      <c r="A64" s="20" t="s">
        <v>191</v>
      </c>
      <c r="B64" s="21">
        <v>0.15</v>
      </c>
      <c r="C64" s="21">
        <f>C53</f>
        <v>5.3</v>
      </c>
      <c r="D64" s="21">
        <f t="shared" ref="C64:F67" si="21">D53</f>
        <v>100</v>
      </c>
      <c r="E64" s="21">
        <f t="shared" si="21"/>
        <v>0.9</v>
      </c>
      <c r="F64" s="21">
        <f t="shared" si="21"/>
        <v>0.45</v>
      </c>
      <c r="G64" s="22">
        <f>B64*((C64/12)^E64)*((D64/3)^F64)</f>
        <v>0.34831474183478289</v>
      </c>
      <c r="H64" s="23">
        <f>H53</f>
        <v>2326.2599999999998</v>
      </c>
      <c r="I64" s="24">
        <f>G64*H64</f>
        <v>810.27065134058194</v>
      </c>
      <c r="J64" s="23">
        <f t="shared" ref="J64:J67" si="22">I64/2000</f>
        <v>0.40513532567029098</v>
      </c>
      <c r="K64" s="21">
        <f>K53</f>
        <v>0</v>
      </c>
      <c r="L64" s="35">
        <f>J64*((100-K64)/100)</f>
        <v>0.40513532567029098</v>
      </c>
    </row>
    <row r="65" spans="1:12">
      <c r="A65" s="20" t="s">
        <v>192</v>
      </c>
      <c r="B65" s="21">
        <v>0.15</v>
      </c>
      <c r="C65" s="21">
        <f t="shared" si="21"/>
        <v>5.3</v>
      </c>
      <c r="D65" s="21">
        <f t="shared" si="21"/>
        <v>75</v>
      </c>
      <c r="E65" s="21">
        <f t="shared" si="21"/>
        <v>0.9</v>
      </c>
      <c r="F65" s="21">
        <f t="shared" si="21"/>
        <v>0.45</v>
      </c>
      <c r="G65" s="22">
        <f t="shared" ref="G65:G67" si="23">B65*((C65/12)^E65)*((D65/3)^F65)</f>
        <v>0.30601972754633722</v>
      </c>
      <c r="H65" s="23">
        <f>H54</f>
        <v>2326.2599999999998</v>
      </c>
      <c r="I65" s="24">
        <f t="shared" ref="I65:I67" si="24">G65*H65</f>
        <v>711.88145140194229</v>
      </c>
      <c r="J65" s="23">
        <f t="shared" si="22"/>
        <v>0.35594072570097113</v>
      </c>
      <c r="K65" s="21">
        <f>K54</f>
        <v>0</v>
      </c>
      <c r="L65" s="35">
        <f t="shared" ref="L65:L66" si="25">J65*((100-K65)/100)</f>
        <v>0.35594072570097113</v>
      </c>
    </row>
    <row r="66" spans="1:12" hidden="1">
      <c r="A66" s="20" t="s">
        <v>191</v>
      </c>
      <c r="B66" s="21">
        <v>0.15</v>
      </c>
      <c r="C66" s="21">
        <f t="shared" si="21"/>
        <v>6</v>
      </c>
      <c r="D66" s="21">
        <f t="shared" si="21"/>
        <v>100</v>
      </c>
      <c r="E66" s="21">
        <f t="shared" si="21"/>
        <v>0.9</v>
      </c>
      <c r="F66" s="21">
        <f t="shared" si="21"/>
        <v>0.45</v>
      </c>
      <c r="G66" s="22">
        <f t="shared" si="23"/>
        <v>0.3894571651749334</v>
      </c>
      <c r="H66" s="23">
        <f>H55</f>
        <v>0</v>
      </c>
      <c r="I66" s="24">
        <f t="shared" si="24"/>
        <v>0</v>
      </c>
      <c r="J66" s="23">
        <f t="shared" si="22"/>
        <v>0</v>
      </c>
      <c r="K66" s="21">
        <f>K55</f>
        <v>90</v>
      </c>
      <c r="L66" s="35">
        <f t="shared" si="25"/>
        <v>0</v>
      </c>
    </row>
    <row r="67" spans="1:12" hidden="1">
      <c r="A67" s="20" t="s">
        <v>192</v>
      </c>
      <c r="B67" s="21">
        <v>0.15</v>
      </c>
      <c r="C67" s="21">
        <f t="shared" si="21"/>
        <v>6</v>
      </c>
      <c r="D67" s="21">
        <f t="shared" si="21"/>
        <v>75</v>
      </c>
      <c r="E67" s="21">
        <f t="shared" si="21"/>
        <v>0.9</v>
      </c>
      <c r="F67" s="21">
        <f t="shared" si="21"/>
        <v>0.45</v>
      </c>
      <c r="G67" s="22">
        <f t="shared" si="23"/>
        <v>0.34216632620830534</v>
      </c>
      <c r="H67" s="23">
        <f>H56</f>
        <v>0</v>
      </c>
      <c r="I67" s="24">
        <f t="shared" si="24"/>
        <v>0</v>
      </c>
      <c r="J67" s="23">
        <f t="shared" si="22"/>
        <v>0</v>
      </c>
      <c r="K67" s="21">
        <f>K56</f>
        <v>90</v>
      </c>
      <c r="L67" s="35">
        <f>J67*((100-K67)/100)</f>
        <v>0</v>
      </c>
    </row>
    <row r="68" spans="1:12">
      <c r="A68" s="334" t="s">
        <v>193</v>
      </c>
      <c r="B68" s="27"/>
      <c r="C68" s="26"/>
      <c r="D68" s="26"/>
      <c r="E68" s="26"/>
      <c r="F68" s="26"/>
      <c r="G68" s="27"/>
      <c r="H68" s="28">
        <f>SUM(H64:H67)</f>
        <v>4652.5199999999995</v>
      </c>
      <c r="I68" s="29">
        <f>SUM(I64:I67)</f>
        <v>1522.1521027425242</v>
      </c>
      <c r="J68" s="29">
        <f>SUM(J64:J67)</f>
        <v>0.76107605137126211</v>
      </c>
      <c r="K68" s="26"/>
      <c r="L68" s="333">
        <f>SUM(L64:L67)</f>
        <v>0.76107605137126211</v>
      </c>
    </row>
    <row r="70" spans="1:12">
      <c r="A70" s="2" t="s">
        <v>198</v>
      </c>
    </row>
    <row r="71" spans="1:12">
      <c r="A71" s="2" t="s">
        <v>199</v>
      </c>
    </row>
    <row r="72" spans="1:12" ht="15">
      <c r="A72" s="2" t="s">
        <v>200</v>
      </c>
      <c r="B72" s="2" t="s">
        <v>201</v>
      </c>
    </row>
    <row r="73" spans="1:12">
      <c r="B73" s="2" t="s">
        <v>202</v>
      </c>
    </row>
    <row r="74" spans="1:12">
      <c r="B74" s="36" t="s">
        <v>203</v>
      </c>
    </row>
    <row r="75" spans="1:12" ht="15">
      <c r="B75" s="2" t="s">
        <v>204</v>
      </c>
    </row>
    <row r="76" spans="1:12">
      <c r="B76" s="2" t="s">
        <v>205</v>
      </c>
    </row>
    <row r="77" spans="1:12">
      <c r="A77" s="2" t="s">
        <v>206</v>
      </c>
    </row>
    <row r="78" spans="1:12" ht="15">
      <c r="A78" s="2" t="s">
        <v>207</v>
      </c>
      <c r="B78" s="2" t="s">
        <v>201</v>
      </c>
    </row>
    <row r="79" spans="1:12">
      <c r="B79" s="2" t="s">
        <v>208</v>
      </c>
    </row>
    <row r="80" spans="1:12">
      <c r="B80" s="2" t="s">
        <v>209</v>
      </c>
    </row>
    <row r="81" spans="1:4">
      <c r="B81" s="2" t="s">
        <v>210</v>
      </c>
    </row>
    <row r="82" spans="1:4">
      <c r="A82" s="2" t="s">
        <v>211</v>
      </c>
    </row>
    <row r="83" spans="1:4">
      <c r="A83" s="36" t="s">
        <v>212</v>
      </c>
      <c r="B83" s="380">
        <v>0</v>
      </c>
      <c r="C83" s="2" t="s">
        <v>213</v>
      </c>
    </row>
    <row r="84" spans="1:4">
      <c r="A84" s="2" t="s">
        <v>214</v>
      </c>
    </row>
    <row r="85" spans="1:4">
      <c r="A85" s="2" t="s">
        <v>215</v>
      </c>
    </row>
    <row r="86" spans="1:4">
      <c r="A86" s="2" t="s">
        <v>216</v>
      </c>
    </row>
    <row r="87" spans="1:4">
      <c r="A87" s="2" t="s">
        <v>217</v>
      </c>
    </row>
    <row r="89" spans="1:4">
      <c r="A89" s="2" t="s">
        <v>218</v>
      </c>
      <c r="B89" s="37">
        <f>'1. Step 1 Evaluation'!D34*B93</f>
        <v>581565</v>
      </c>
      <c r="C89" s="2" t="s">
        <v>80</v>
      </c>
    </row>
    <row r="90" spans="1:4">
      <c r="A90" s="2" t="s">
        <v>219</v>
      </c>
      <c r="B90" s="2">
        <f>SUM(B95:B96)</f>
        <v>0.9</v>
      </c>
      <c r="C90" s="2" t="s">
        <v>220</v>
      </c>
    </row>
    <row r="91" spans="1:4">
      <c r="A91" s="2" t="s">
        <v>221</v>
      </c>
      <c r="B91" s="2">
        <f>D13-D14</f>
        <v>25</v>
      </c>
      <c r="C91" s="2" t="s">
        <v>222</v>
      </c>
    </row>
    <row r="92" spans="1:4">
      <c r="A92" s="2" t="s">
        <v>223</v>
      </c>
      <c r="B92" s="2">
        <f>B89/B91</f>
        <v>23262.6</v>
      </c>
      <c r="C92" s="2" t="s">
        <v>224</v>
      </c>
    </row>
    <row r="93" spans="1:4">
      <c r="A93" s="2" t="s">
        <v>225</v>
      </c>
      <c r="B93" s="375">
        <f>1-B94</f>
        <v>1</v>
      </c>
      <c r="C93" s="2" t="s">
        <v>226</v>
      </c>
    </row>
    <row r="94" spans="1:4">
      <c r="A94" s="2" t="s">
        <v>227</v>
      </c>
      <c r="B94" s="375">
        <f>$B$83</f>
        <v>0</v>
      </c>
    </row>
    <row r="95" spans="1:4">
      <c r="A95" s="2" t="s">
        <v>228</v>
      </c>
      <c r="B95" s="2">
        <v>0.8</v>
      </c>
      <c r="C95" s="2" t="s">
        <v>229</v>
      </c>
      <c r="D95" s="2" t="s">
        <v>230</v>
      </c>
    </row>
    <row r="96" spans="1:4">
      <c r="A96" s="2" t="s">
        <v>231</v>
      </c>
      <c r="B96" s="2">
        <v>0.1</v>
      </c>
      <c r="C96" s="2" t="s">
        <v>229</v>
      </c>
      <c r="D96" s="2" t="s">
        <v>230</v>
      </c>
    </row>
    <row r="97" spans="1:4">
      <c r="A97" s="2" t="s">
        <v>232</v>
      </c>
      <c r="B97" s="2">
        <f>B95*B92</f>
        <v>18610.079999999998</v>
      </c>
      <c r="C97" s="2" t="s">
        <v>233</v>
      </c>
      <c r="D97" s="2" t="s">
        <v>234</v>
      </c>
    </row>
    <row r="98" spans="1:4">
      <c r="A98" s="2" t="s">
        <v>235</v>
      </c>
      <c r="B98" s="2">
        <f>B96*B92</f>
        <v>2326.2599999999998</v>
      </c>
      <c r="C98" s="2" t="s">
        <v>233</v>
      </c>
      <c r="D98" s="2" t="s">
        <v>234</v>
      </c>
    </row>
  </sheetData>
  <pageMargins left="0.7" right="0.7" top="0.75" bottom="0.75" header="0.3" footer="0.3"/>
  <pageSetup scale="64" fitToHeight="2" orientation="landscape" r:id="rId1"/>
  <rowBreaks count="1" manualBreakCount="1">
    <brk id="35" max="11"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A6A81-722D-4FD9-89C0-93412AD1BA0C}">
  <sheetPr>
    <tabColor rgb="FF92D050"/>
    <pageSetUpPr fitToPage="1"/>
  </sheetPr>
  <dimension ref="B2:T54"/>
  <sheetViews>
    <sheetView topLeftCell="A2" zoomScale="150" zoomScaleNormal="150" zoomScaleSheetLayoutView="140" workbookViewId="0">
      <selection activeCell="L46" sqref="L46"/>
    </sheetView>
  </sheetViews>
  <sheetFormatPr defaultColWidth="8.85546875" defaultRowHeight="12.75"/>
  <cols>
    <col min="1" max="1" width="4" style="2" customWidth="1"/>
    <col min="2" max="2" width="19.42578125" style="2" customWidth="1"/>
    <col min="3" max="11" width="12.5703125" style="2" customWidth="1"/>
    <col min="12" max="16384" width="8.85546875" style="2"/>
  </cols>
  <sheetData>
    <row r="2" spans="2:11">
      <c r="B2" s="6" t="s">
        <v>0</v>
      </c>
      <c r="C2" s="7" t="str">
        <f>'1. Step 1 Evaluation'!C2</f>
        <v>U. S. Steel</v>
      </c>
    </row>
    <row r="3" spans="2:11">
      <c r="B3" s="6" t="s">
        <v>2</v>
      </c>
      <c r="C3" s="7" t="str">
        <f>'1. Step 1 Evaluation'!C3</f>
        <v>Edgar Thomson Plant</v>
      </c>
    </row>
    <row r="4" spans="2:11">
      <c r="B4" s="6" t="s">
        <v>4</v>
      </c>
      <c r="C4" s="7" t="str">
        <f>'1. Step 1 Evaluation'!C4</f>
        <v>Slag Recycler Project</v>
      </c>
    </row>
    <row r="6" spans="2:11">
      <c r="B6" s="38" t="s">
        <v>236</v>
      </c>
    </row>
    <row r="8" spans="2:11" ht="15.75">
      <c r="B8" s="12"/>
      <c r="C8" s="13"/>
      <c r="D8" s="11" t="s">
        <v>237</v>
      </c>
      <c r="E8" s="12" t="s">
        <v>172</v>
      </c>
      <c r="F8" s="75"/>
      <c r="G8" s="13"/>
      <c r="H8" s="11" t="s">
        <v>238</v>
      </c>
      <c r="I8" s="11" t="s">
        <v>238</v>
      </c>
      <c r="J8" s="11" t="s">
        <v>239</v>
      </c>
      <c r="K8" s="11" t="s">
        <v>239</v>
      </c>
    </row>
    <row r="9" spans="2:11">
      <c r="B9" s="76" t="s">
        <v>240</v>
      </c>
      <c r="C9" s="77"/>
      <c r="D9" s="15" t="s">
        <v>241</v>
      </c>
      <c r="E9" s="16" t="s">
        <v>86</v>
      </c>
      <c r="F9" s="78"/>
      <c r="G9" s="17"/>
      <c r="H9" s="15" t="s">
        <v>242</v>
      </c>
      <c r="I9" s="15" t="s">
        <v>86</v>
      </c>
      <c r="J9" s="15" t="s">
        <v>242</v>
      </c>
      <c r="K9" s="15" t="s">
        <v>86</v>
      </c>
    </row>
    <row r="10" spans="2:11" ht="15">
      <c r="B10" s="11" t="s">
        <v>243</v>
      </c>
      <c r="C10" s="11" t="s">
        <v>244</v>
      </c>
      <c r="D10" s="15" t="s">
        <v>245</v>
      </c>
      <c r="E10" s="11" t="s">
        <v>246</v>
      </c>
      <c r="F10" s="11" t="s">
        <v>184</v>
      </c>
      <c r="G10" s="11" t="s">
        <v>247</v>
      </c>
      <c r="H10" s="15" t="s">
        <v>248</v>
      </c>
      <c r="I10" s="15" t="s">
        <v>247</v>
      </c>
      <c r="J10" s="15" t="s">
        <v>248</v>
      </c>
      <c r="K10" s="15" t="s">
        <v>247</v>
      </c>
    </row>
    <row r="11" spans="2:11" ht="13.5" thickBot="1">
      <c r="B11" s="19" t="s">
        <v>187</v>
      </c>
      <c r="C11" s="19" t="s">
        <v>188</v>
      </c>
      <c r="D11" s="19" t="s">
        <v>189</v>
      </c>
      <c r="E11" s="19" t="s">
        <v>190</v>
      </c>
      <c r="F11" s="19" t="s">
        <v>182</v>
      </c>
      <c r="G11" s="19" t="s">
        <v>249</v>
      </c>
      <c r="H11" s="19" t="s">
        <v>250</v>
      </c>
      <c r="I11" s="19" t="s">
        <v>251</v>
      </c>
      <c r="J11" s="19" t="s">
        <v>252</v>
      </c>
      <c r="K11" s="19" t="s">
        <v>253</v>
      </c>
    </row>
    <row r="12" spans="2:11">
      <c r="B12" s="24">
        <v>4500</v>
      </c>
      <c r="C12" s="22">
        <f>B12/43560</f>
        <v>0.10330578512396695</v>
      </c>
      <c r="D12" s="22">
        <f>1.7*5.3/1.5*((365-160)/235)*20/15</f>
        <v>6.9864775413711584</v>
      </c>
      <c r="E12" s="22">
        <f>C12*D12</f>
        <v>0.72174354766230975</v>
      </c>
      <c r="F12" s="23">
        <f>E12*365</f>
        <v>263.43639489674308</v>
      </c>
      <c r="G12" s="35">
        <f>F12/2000</f>
        <v>0.13171819744837154</v>
      </c>
      <c r="H12" s="22">
        <f>0.35/0.74*100</f>
        <v>47.297297297297298</v>
      </c>
      <c r="I12" s="35">
        <f>G12*(H12/100)</f>
        <v>6.2299147441797355E-2</v>
      </c>
      <c r="J12" s="22">
        <f>0.11/0.74*100</f>
        <v>14.864864864864865</v>
      </c>
      <c r="K12" s="35">
        <f>G12*(J12/100)</f>
        <v>1.957973205313631E-2</v>
      </c>
    </row>
    <row r="15" spans="2:11">
      <c r="B15" s="2" t="s">
        <v>254</v>
      </c>
    </row>
    <row r="16" spans="2:11">
      <c r="B16" s="2" t="s">
        <v>255</v>
      </c>
    </row>
    <row r="17" spans="2:20">
      <c r="B17" s="79" t="s">
        <v>256</v>
      </c>
    </row>
    <row r="18" spans="2:20">
      <c r="B18" s="79" t="s">
        <v>257</v>
      </c>
    </row>
    <row r="19" spans="2:20">
      <c r="B19" s="80" t="s">
        <v>258</v>
      </c>
      <c r="D19" s="32"/>
      <c r="F19" s="32"/>
      <c r="H19" s="32"/>
      <c r="J19" s="32"/>
      <c r="L19" s="32"/>
      <c r="N19" s="32"/>
      <c r="P19" s="32"/>
      <c r="T19" s="32"/>
    </row>
    <row r="20" spans="2:20">
      <c r="B20" s="80" t="s">
        <v>259</v>
      </c>
    </row>
    <row r="21" spans="2:20">
      <c r="B21" s="80" t="s">
        <v>260</v>
      </c>
    </row>
    <row r="22" spans="2:20">
      <c r="B22" s="80" t="s">
        <v>261</v>
      </c>
    </row>
    <row r="23" spans="2:20">
      <c r="B23" s="80" t="s">
        <v>262</v>
      </c>
    </row>
    <row r="24" spans="2:20">
      <c r="B24" s="79" t="s">
        <v>263</v>
      </c>
    </row>
    <row r="25" spans="2:20">
      <c r="B25" s="79" t="s">
        <v>264</v>
      </c>
    </row>
    <row r="26" spans="2:20">
      <c r="B26" s="79" t="s">
        <v>265</v>
      </c>
    </row>
    <row r="27" spans="2:20">
      <c r="B27" s="2" t="s">
        <v>266</v>
      </c>
    </row>
    <row r="28" spans="2:20">
      <c r="B28" s="2" t="s">
        <v>267</v>
      </c>
    </row>
    <row r="29" spans="2:20">
      <c r="B29" s="2" t="s">
        <v>268</v>
      </c>
    </row>
    <row r="30" spans="2:20">
      <c r="B30" s="2" t="s">
        <v>269</v>
      </c>
    </row>
    <row r="54" ht="27" customHeight="1"/>
  </sheetData>
  <pageMargins left="0.7" right="0.7" top="0.75" bottom="0.75" header="0.3" footer="0.3"/>
  <pageSetup scale="91"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88d689e-5026-4cd3-ab19-d86d5abe8b8f">
      <Terms xmlns="http://schemas.microsoft.com/office/infopath/2007/PartnerControls"/>
    </lcf76f155ced4ddcb4097134ff3c332f>
    <TaxCatchAll xmlns="feaad656-1b10-457c-90e9-91a22fe1f7e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C65383296ED4D4DB0AD800770D06660" ma:contentTypeVersion="13" ma:contentTypeDescription="Create a new document." ma:contentTypeScope="" ma:versionID="e59ff5a109c9c6a09b7857017b8659cb">
  <xsd:schema xmlns:xsd="http://www.w3.org/2001/XMLSchema" xmlns:xs="http://www.w3.org/2001/XMLSchema" xmlns:p="http://schemas.microsoft.com/office/2006/metadata/properties" xmlns:ns2="688d689e-5026-4cd3-ab19-d86d5abe8b8f" xmlns:ns3="feaad656-1b10-457c-90e9-91a22fe1f7eb" targetNamespace="http://schemas.microsoft.com/office/2006/metadata/properties" ma:root="true" ma:fieldsID="5eb70b0a4014b728c5d6fafb361978f7" ns2:_="" ns3:_="">
    <xsd:import namespace="688d689e-5026-4cd3-ab19-d86d5abe8b8f"/>
    <xsd:import namespace="feaad656-1b10-457c-90e9-91a22fe1f7e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8d689e-5026-4cd3-ab19-d86d5abe8b8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descrip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af121c4d-7a7c-4cad-b202-e2ff26419922"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eaad656-1b10-457c-90e9-91a22fe1f7eb"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dbda6103-8379-4351-840b-17cc1c57b5f5}" ma:internalName="TaxCatchAll" ma:showField="CatchAllData" ma:web="feaad656-1b10-457c-90e9-91a22fe1f7e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422534-A78E-47C9-BA69-9A5ED2CCAEF0}">
  <ds:schemaRefs>
    <ds:schemaRef ds:uri="http://www.w3.org/XML/1998/namespace"/>
    <ds:schemaRef ds:uri="http://purl.org/dc/dcmitype/"/>
    <ds:schemaRef ds:uri="http://schemas.openxmlformats.org/package/2006/metadata/core-properties"/>
    <ds:schemaRef ds:uri="http://schemas.microsoft.com/office/2006/metadata/properties"/>
    <ds:schemaRef ds:uri="157bb656-fed6-4ead-9ce6-975c92a54292"/>
    <ds:schemaRef ds:uri="http://schemas.microsoft.com/office/2006/documentManagement/types"/>
    <ds:schemaRef ds:uri="http://purl.org/dc/elements/1.1/"/>
    <ds:schemaRef ds:uri="http://schemas.microsoft.com/office/infopath/2007/PartnerControls"/>
    <ds:schemaRef ds:uri="3f94263a-20bb-431b-b9e8-fae38d083436"/>
    <ds:schemaRef ds:uri="http://purl.org/dc/terms/"/>
  </ds:schemaRefs>
</ds:datastoreItem>
</file>

<file path=customXml/itemProps2.xml><?xml version="1.0" encoding="utf-8"?>
<ds:datastoreItem xmlns:ds="http://schemas.openxmlformats.org/officeDocument/2006/customXml" ds:itemID="{40E1044B-35D4-4193-A297-406462A9998A}">
  <ds:schemaRefs>
    <ds:schemaRef ds:uri="http://schemas.microsoft.com/sharepoint/v3/contenttype/forms"/>
  </ds:schemaRefs>
</ds:datastoreItem>
</file>

<file path=customXml/itemProps3.xml><?xml version="1.0" encoding="utf-8"?>
<ds:datastoreItem xmlns:ds="http://schemas.openxmlformats.org/officeDocument/2006/customXml" ds:itemID="{2BD12960-90EC-4328-9D88-AC7A1B555BE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26</vt:i4>
      </vt:variant>
    </vt:vector>
  </HeadingPairs>
  <TitlesOfParts>
    <vt:vector size="43" baseType="lpstr">
      <vt:lpstr>1. Step 1 Evaluation</vt:lpstr>
      <vt:lpstr>2. Project Emissions Summary</vt:lpstr>
      <vt:lpstr>3. Future Emissions Summary</vt:lpstr>
      <vt:lpstr>4. Slag Gran_New</vt:lpstr>
      <vt:lpstr>4a. Slag Quenching_Exist</vt:lpstr>
      <vt:lpstr>5. Slag Handling_New</vt:lpstr>
      <vt:lpstr>5a. Slag Pit Handl_Exist</vt:lpstr>
      <vt:lpstr>6. Roads_Future</vt:lpstr>
      <vt:lpstr>7. Storage Piles Erosion</vt:lpstr>
      <vt:lpstr>Baseline--&gt;</vt:lpstr>
      <vt:lpstr>8a. Baseline Em_Report</vt:lpstr>
      <vt:lpstr>8b. Baseline Emissions_Other</vt:lpstr>
      <vt:lpstr>9. Baseline Roadway Emissions</vt:lpstr>
      <vt:lpstr>Road Calcs--&gt;</vt:lpstr>
      <vt:lpstr>Roads BAE 19</vt:lpstr>
      <vt:lpstr>Roads BAE 20</vt:lpstr>
      <vt:lpstr>Roads BAE 21</vt:lpstr>
      <vt:lpstr>'1. Step 1 Evaluation'!Print_Area</vt:lpstr>
      <vt:lpstr>'2. Project Emissions Summary'!Print_Area</vt:lpstr>
      <vt:lpstr>'3. Future Emissions Summary'!Print_Area</vt:lpstr>
      <vt:lpstr>'4. Slag Gran_New'!Print_Area</vt:lpstr>
      <vt:lpstr>'4a. Slag Quenching_Exist'!Print_Area</vt:lpstr>
      <vt:lpstr>'5. Slag Handling_New'!Print_Area</vt:lpstr>
      <vt:lpstr>'5a. Slag Pit Handl_Exist'!Print_Area</vt:lpstr>
      <vt:lpstr>'6. Roads_Future'!Print_Area</vt:lpstr>
      <vt:lpstr>'8a. Baseline Em_Report'!Print_Area</vt:lpstr>
      <vt:lpstr>'8b. Baseline Emissions_Other'!Print_Area</vt:lpstr>
      <vt:lpstr>'9. Baseline Roadway Emissions'!Print_Area</vt:lpstr>
      <vt:lpstr>'Roads BAE 19'!Print_Area</vt:lpstr>
      <vt:lpstr>'Roads BAE 20'!Print_Area</vt:lpstr>
      <vt:lpstr>'Roads BAE 21'!Print_Area</vt:lpstr>
      <vt:lpstr>'3. Future Emissions Summary'!Print_Titles</vt:lpstr>
      <vt:lpstr>'4. Slag Gran_New'!Print_Titles</vt:lpstr>
      <vt:lpstr>'4a. Slag Quenching_Exist'!Print_Titles</vt:lpstr>
      <vt:lpstr>'5. Slag Handling_New'!Print_Titles</vt:lpstr>
      <vt:lpstr>'5a. Slag Pit Handl_Exist'!Print_Titles</vt:lpstr>
      <vt:lpstr>'6. Roads_Future'!Print_Titles</vt:lpstr>
      <vt:lpstr>'8a. Baseline Em_Report'!Print_Titles</vt:lpstr>
      <vt:lpstr>'8b. Baseline Emissions_Other'!Print_Titles</vt:lpstr>
      <vt:lpstr>'9. Baseline Roadway Emissions'!Print_Titles</vt:lpstr>
      <vt:lpstr>'Roads BAE 19'!Print_Titles</vt:lpstr>
      <vt:lpstr>'Roads BAE 20'!Print_Titles</vt:lpstr>
      <vt:lpstr>'Roads BAE 21'!Print_Titles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2025-09-19T19:15:01Z</dcterms:created>
  <dcterms:modified xsi:type="dcterms:W3CDTF">2025-10-29T17:31:12Z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100</vt:r8>
  </property>
  <property fmtid="{D5CDD505-2E9C-101B-9397-08002B2CF9AE}" pid="3" name="MediaServiceImageTags">
    <vt:lpwstr/>
  </property>
  <property fmtid="{D5CDD505-2E9C-101B-9397-08002B2CF9AE}" pid="4" name="ContentTypeId">
    <vt:lpwstr>0x0101008C65383296ED4D4DB0AD800770D06660</vt:lpwstr>
  </property>
</Properties>
</file>