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lleghenycounty-my.sharepoint.com/personal/hafeez_ajenifuja_alleghenycounty_us/Documents/ACHD/MAJOR SOURCE/Imperial Landfill/Imperial Landfill/Title V/Renewal 2025/Renewal TVOP-2025/Proposed/"/>
    </mc:Choice>
  </mc:AlternateContent>
  <xr:revisionPtr revIDLastSave="0" documentId="108_{B0E961E5-F27F-48D2-8819-001D4179AE5B}" xr6:coauthVersionLast="47" xr6:coauthVersionMax="47" xr10:uidLastSave="{00000000-0000-0000-0000-000000000000}"/>
  <bookViews>
    <workbookView xWindow="-120" yWindow="-120" windowWidth="29040" windowHeight="15720" tabRatio="726" firstSheet="6" activeTab="6" xr2:uid="{76E9F317-8106-42FE-A14C-8D44A5F90D84}"/>
  </bookViews>
  <sheets>
    <sheet name="Flare Criteria Pollutants" sheetId="54" r:id="rId1"/>
    <sheet name="Sample Calculations" sheetId="57" r:id="rId2"/>
    <sheet name="HAPs from flare" sheetId="55" r:id="rId3"/>
    <sheet name="Flare Emissions" sheetId="1" r:id="rId4"/>
    <sheet name="Updated LFG Model" sheetId="73" r:id="rId5"/>
    <sheet name="HAP Fugitive" sheetId="59" r:id="rId6"/>
    <sheet name="Roads - Construction" sheetId="75" r:id="rId7"/>
    <sheet name="Roads - Soil" sheetId="74" r:id="rId8"/>
    <sheet name="Roads - Waste" sheetId="62" r:id="rId9"/>
    <sheet name="Stg Tanks" sheetId="64" r:id="rId10"/>
    <sheet name="Heated Pressure Washer" sheetId="66" r:id="rId11"/>
    <sheet name="Misc. Combustion" sheetId="68" r:id="rId12"/>
    <sheet name="IC Engine 635 hp" sheetId="70" r:id="rId13"/>
    <sheet name="IC Engine 896 hp" sheetId="71" r:id="rId14"/>
    <sheet name="Office Emerg Gen" sheetId="78" r:id="rId15"/>
    <sheet name="Fugitive - LF Operations" sheetId="76" r:id="rId16"/>
    <sheet name="Entire Source Emissions" sheetId="67" r:id="rId17"/>
  </sheets>
  <externalReferences>
    <externalReference r:id="rId18"/>
  </externalReferences>
  <definedNames>
    <definedName name="_xlnm.Print_Area" localSheetId="16">'Entire Source Emissions'!$A$1:$U$35</definedName>
    <definedName name="_xlnm.Print_Area" localSheetId="11">'Misc. Combustion'!$A$1:$J$36</definedName>
    <definedName name="_xlnm.Print_Area" localSheetId="6">'Roads - Construction'!$A$1:$N$42</definedName>
    <definedName name="_xlnm.Print_Area" localSheetId="7">'Roads - Soil'!$A$1:$N$42</definedName>
    <definedName name="_xlnm.Print_Area" localSheetId="8">'Roads - Waste'!$A$1:$N$69</definedName>
    <definedName name="_xlnm.Print_Area" localSheetId="9">'Stg Tanks'!$A$1:$N$37</definedName>
    <definedName name="_xlnm.Print_Titles" localSheetId="4">'Updated LFG Model'!$1:$3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1" l="1"/>
  <c r="G12" i="71"/>
  <c r="J12" i="71"/>
  <c r="E22" i="78"/>
  <c r="J25" i="67"/>
  <c r="D30" i="78"/>
  <c r="P25" i="67" s="1"/>
  <c r="E30" i="78"/>
  <c r="Q25" i="67" s="1"/>
  <c r="D28" i="78"/>
  <c r="E28" i="78" s="1"/>
  <c r="E25" i="67" s="1"/>
  <c r="G25" i="67" s="1"/>
  <c r="D26" i="78"/>
  <c r="H25" i="67" s="1"/>
  <c r="D24" i="78"/>
  <c r="D22" i="78"/>
  <c r="K25" i="67"/>
  <c r="I53" i="73"/>
  <c r="I56" i="73"/>
  <c r="I55" i="73"/>
  <c r="I65" i="73"/>
  <c r="I79" i="73"/>
  <c r="K79" i="73" s="1"/>
  <c r="H33" i="54"/>
  <c r="H34" i="54"/>
  <c r="I5" i="73"/>
  <c r="I6" i="73"/>
  <c r="I7" i="73"/>
  <c r="I8" i="73"/>
  <c r="I9" i="73"/>
  <c r="I10" i="73"/>
  <c r="K10" i="73" s="1"/>
  <c r="I11" i="73"/>
  <c r="I12" i="73"/>
  <c r="I13" i="73"/>
  <c r="I14" i="73"/>
  <c r="I15" i="73"/>
  <c r="I16" i="73"/>
  <c r="I17" i="73"/>
  <c r="I18" i="73"/>
  <c r="I19" i="73"/>
  <c r="I20" i="73"/>
  <c r="I21" i="73"/>
  <c r="I22" i="73"/>
  <c r="I23" i="73"/>
  <c r="I24" i="73"/>
  <c r="I25" i="73"/>
  <c r="I26" i="73"/>
  <c r="I27" i="73"/>
  <c r="I28" i="73"/>
  <c r="I29" i="73"/>
  <c r="I30" i="73"/>
  <c r="I31" i="73"/>
  <c r="I32" i="73"/>
  <c r="I33" i="73"/>
  <c r="I34" i="73"/>
  <c r="K34" i="73" s="1"/>
  <c r="I35" i="73"/>
  <c r="I36" i="73"/>
  <c r="I37" i="73"/>
  <c r="I38" i="73"/>
  <c r="I39" i="73"/>
  <c r="I40" i="73"/>
  <c r="I41" i="73"/>
  <c r="I42" i="73"/>
  <c r="K42" i="73" s="1"/>
  <c r="I43" i="73"/>
  <c r="I44" i="73"/>
  <c r="I45" i="73"/>
  <c r="I46" i="73"/>
  <c r="I47" i="73"/>
  <c r="I48" i="73"/>
  <c r="I49" i="73"/>
  <c r="K49" i="73" s="1"/>
  <c r="I50" i="73"/>
  <c r="K50" i="73" s="1"/>
  <c r="I51" i="73"/>
  <c r="I52" i="73"/>
  <c r="I54" i="73"/>
  <c r="I57" i="73"/>
  <c r="I58" i="73"/>
  <c r="I59" i="73"/>
  <c r="I60" i="73"/>
  <c r="I61" i="73"/>
  <c r="I62" i="73"/>
  <c r="I63" i="73"/>
  <c r="I64" i="73"/>
  <c r="I66" i="73"/>
  <c r="I67" i="73"/>
  <c r="I68" i="73"/>
  <c r="K68" i="73" s="1"/>
  <c r="I69" i="73"/>
  <c r="I70" i="73"/>
  <c r="I71" i="73"/>
  <c r="I72" i="73"/>
  <c r="I73" i="73"/>
  <c r="I74" i="73"/>
  <c r="I75" i="73"/>
  <c r="I76" i="73"/>
  <c r="I77" i="73"/>
  <c r="I78" i="73"/>
  <c r="I80" i="73"/>
  <c r="I81" i="73"/>
  <c r="I82" i="73"/>
  <c r="I83" i="73"/>
  <c r="I84" i="73"/>
  <c r="I85" i="73"/>
  <c r="I86" i="73"/>
  <c r="I87" i="73"/>
  <c r="I88" i="73"/>
  <c r="I89" i="73"/>
  <c r="I90" i="73"/>
  <c r="I91" i="73"/>
  <c r="I92" i="73"/>
  <c r="I93" i="73"/>
  <c r="I94" i="73"/>
  <c r="I95" i="73"/>
  <c r="I96" i="73"/>
  <c r="I97" i="73"/>
  <c r="I98" i="73"/>
  <c r="I99" i="73"/>
  <c r="I100" i="73"/>
  <c r="K100" i="73" s="1"/>
  <c r="I101" i="73"/>
  <c r="I102" i="73"/>
  <c r="I103" i="73"/>
  <c r="I104" i="73"/>
  <c r="I105" i="73"/>
  <c r="I106" i="73"/>
  <c r="I107" i="73"/>
  <c r="K107" i="73"/>
  <c r="I108" i="73"/>
  <c r="I109" i="73"/>
  <c r="I110" i="73"/>
  <c r="I111" i="73"/>
  <c r="I112" i="73"/>
  <c r="I113" i="73"/>
  <c r="I114" i="73"/>
  <c r="I115" i="73"/>
  <c r="I116" i="73"/>
  <c r="I117" i="73"/>
  <c r="I118" i="73"/>
  <c r="I119" i="73"/>
  <c r="I120" i="73"/>
  <c r="I121" i="73"/>
  <c r="I122" i="73"/>
  <c r="I123" i="73"/>
  <c r="I124" i="73"/>
  <c r="I125" i="73"/>
  <c r="I126" i="73"/>
  <c r="K126" i="73"/>
  <c r="I127" i="73"/>
  <c r="I128" i="73"/>
  <c r="I129" i="73"/>
  <c r="I130" i="73"/>
  <c r="I131" i="73"/>
  <c r="I132" i="73"/>
  <c r="I133" i="73"/>
  <c r="I134" i="73"/>
  <c r="I135" i="73"/>
  <c r="I136" i="73"/>
  <c r="I137" i="73"/>
  <c r="I138" i="73"/>
  <c r="I139" i="73"/>
  <c r="I140" i="73"/>
  <c r="I141" i="73"/>
  <c r="I142" i="73"/>
  <c r="I143" i="73"/>
  <c r="I144" i="73"/>
  <c r="I145" i="73"/>
  <c r="I146" i="73"/>
  <c r="K146" i="73"/>
  <c r="I147" i="73"/>
  <c r="I148" i="73"/>
  <c r="I149" i="73"/>
  <c r="I150" i="73"/>
  <c r="I151" i="73"/>
  <c r="I152" i="73"/>
  <c r="I153" i="73"/>
  <c r="I154" i="73"/>
  <c r="I155" i="73"/>
  <c r="I156" i="73"/>
  <c r="K156" i="73" s="1"/>
  <c r="I157" i="73"/>
  <c r="I158" i="73"/>
  <c r="I159" i="73"/>
  <c r="K159" i="73" s="1"/>
  <c r="I160" i="73"/>
  <c r="I161" i="73"/>
  <c r="I162" i="73"/>
  <c r="K162" i="73" s="1"/>
  <c r="I163" i="73"/>
  <c r="I164" i="73"/>
  <c r="K164" i="73" s="1"/>
  <c r="I165" i="73"/>
  <c r="K165" i="73" s="1"/>
  <c r="I166" i="73"/>
  <c r="I167" i="73"/>
  <c r="I168" i="73"/>
  <c r="I169" i="73"/>
  <c r="I170" i="73"/>
  <c r="K170" i="73"/>
  <c r="I171" i="73"/>
  <c r="I172" i="73"/>
  <c r="I173" i="73"/>
  <c r="I174" i="73"/>
  <c r="I175" i="73"/>
  <c r="I176" i="73"/>
  <c r="I177" i="73"/>
  <c r="I178" i="73"/>
  <c r="K178" i="73" s="1"/>
  <c r="I179" i="73"/>
  <c r="I180" i="73"/>
  <c r="I181" i="73"/>
  <c r="I182" i="73"/>
  <c r="I183" i="73"/>
  <c r="I184" i="73"/>
  <c r="I185" i="73"/>
  <c r="I186" i="73"/>
  <c r="I187" i="73"/>
  <c r="I188" i="73"/>
  <c r="I189" i="73"/>
  <c r="I190" i="73"/>
  <c r="I191" i="73"/>
  <c r="I192" i="73"/>
  <c r="I193" i="73"/>
  <c r="I194" i="73"/>
  <c r="K194" i="73" s="1"/>
  <c r="I195" i="73"/>
  <c r="I196" i="73"/>
  <c r="I197" i="73"/>
  <c r="I4" i="73"/>
  <c r="B19" i="62"/>
  <c r="E19" i="74"/>
  <c r="E35" i="74" s="1"/>
  <c r="B19" i="74"/>
  <c r="E18" i="74"/>
  <c r="B18" i="74"/>
  <c r="D105" i="76"/>
  <c r="D113" i="76" s="1"/>
  <c r="B56" i="76"/>
  <c r="B61" i="76"/>
  <c r="D298" i="76"/>
  <c r="D300" i="76"/>
  <c r="D21" i="76"/>
  <c r="D283" i="76"/>
  <c r="D285" i="76" s="1"/>
  <c r="D18" i="76" s="1"/>
  <c r="D252" i="76"/>
  <c r="D116" i="76"/>
  <c r="D235" i="76"/>
  <c r="D201" i="76"/>
  <c r="D166" i="76"/>
  <c r="D132" i="76"/>
  <c r="D226" i="76"/>
  <c r="D233" i="76" s="1"/>
  <c r="D224" i="76"/>
  <c r="D232" i="76" s="1"/>
  <c r="D237" i="76" s="1"/>
  <c r="D11" i="76" s="1"/>
  <c r="D192" i="76"/>
  <c r="D199" i="76"/>
  <c r="D190" i="76"/>
  <c r="D198" i="76" s="1"/>
  <c r="D157" i="76"/>
  <c r="D164" i="76" s="1"/>
  <c r="D155" i="76"/>
  <c r="D163" i="76" s="1"/>
  <c r="D168" i="76" s="1"/>
  <c r="D107" i="76"/>
  <c r="D114" i="76"/>
  <c r="D120" i="76" s="1"/>
  <c r="G84" i="76"/>
  <c r="E83" i="76"/>
  <c r="D83" i="76"/>
  <c r="F83" i="76"/>
  <c r="E82" i="76"/>
  <c r="D82" i="76"/>
  <c r="F82" i="76" s="1"/>
  <c r="F84" i="76" s="1"/>
  <c r="D81" i="76"/>
  <c r="D80" i="76"/>
  <c r="E75" i="76"/>
  <c r="B67" i="76"/>
  <c r="A36" i="76"/>
  <c r="F31" i="75"/>
  <c r="F31" i="74"/>
  <c r="B34" i="74" s="1"/>
  <c r="E34" i="74"/>
  <c r="F58" i="62"/>
  <c r="F30" i="62"/>
  <c r="B32" i="62" s="1"/>
  <c r="E19" i="75"/>
  <c r="E35" i="75" s="1"/>
  <c r="B19" i="75"/>
  <c r="B35" i="75" s="1"/>
  <c r="E18" i="75"/>
  <c r="B18" i="75"/>
  <c r="B35" i="74"/>
  <c r="H35" i="74" s="1"/>
  <c r="B42" i="74" s="1"/>
  <c r="F42" i="74" s="1"/>
  <c r="E20" i="62"/>
  <c r="E19" i="62"/>
  <c r="E32" i="62" s="1"/>
  <c r="B20" i="62"/>
  <c r="I18" i="68"/>
  <c r="F60" i="59"/>
  <c r="H197" i="73"/>
  <c r="J197" i="73"/>
  <c r="K197" i="73"/>
  <c r="H196" i="73"/>
  <c r="J196" i="73" s="1"/>
  <c r="H195" i="73"/>
  <c r="J195" i="73"/>
  <c r="K195" i="73" s="1"/>
  <c r="H194" i="73"/>
  <c r="J194" i="73" s="1"/>
  <c r="H193" i="73"/>
  <c r="J193" i="73"/>
  <c r="K193" i="73" s="1"/>
  <c r="H192" i="73"/>
  <c r="J192" i="73" s="1"/>
  <c r="K192" i="73" s="1"/>
  <c r="H191" i="73"/>
  <c r="J191" i="73" s="1"/>
  <c r="K191" i="73" s="1"/>
  <c r="H190" i="73"/>
  <c r="J190" i="73"/>
  <c r="K190" i="73" s="1"/>
  <c r="H189" i="73"/>
  <c r="J189" i="73" s="1"/>
  <c r="K189" i="73" s="1"/>
  <c r="H188" i="73"/>
  <c r="J188" i="73" s="1"/>
  <c r="H187" i="73"/>
  <c r="J187" i="73"/>
  <c r="K187" i="73"/>
  <c r="H186" i="73"/>
  <c r="J186" i="73" s="1"/>
  <c r="K186" i="73" s="1"/>
  <c r="H185" i="73"/>
  <c r="J185" i="73" s="1"/>
  <c r="K185" i="73" s="1"/>
  <c r="H184" i="73"/>
  <c r="J184" i="73"/>
  <c r="K184" i="73" s="1"/>
  <c r="H183" i="73"/>
  <c r="J183" i="73"/>
  <c r="K183" i="73" s="1"/>
  <c r="H182" i="73"/>
  <c r="J182" i="73" s="1"/>
  <c r="K182" i="73" s="1"/>
  <c r="H181" i="73"/>
  <c r="J181" i="73" s="1"/>
  <c r="H180" i="73"/>
  <c r="J180" i="73"/>
  <c r="K180" i="73"/>
  <c r="H179" i="73"/>
  <c r="J179" i="73" s="1"/>
  <c r="K179" i="73" s="1"/>
  <c r="H178" i="73"/>
  <c r="J178" i="73" s="1"/>
  <c r="H177" i="73"/>
  <c r="J177" i="73"/>
  <c r="K177" i="73"/>
  <c r="H176" i="73"/>
  <c r="J176" i="73" s="1"/>
  <c r="K176" i="73" s="1"/>
  <c r="H175" i="73"/>
  <c r="J175" i="73" s="1"/>
  <c r="K175" i="73" s="1"/>
  <c r="H174" i="73"/>
  <c r="J174" i="73"/>
  <c r="K174" i="73" s="1"/>
  <c r="H173" i="73"/>
  <c r="J173" i="73" s="1"/>
  <c r="H172" i="73"/>
  <c r="J172" i="73"/>
  <c r="K172" i="73" s="1"/>
  <c r="H171" i="73"/>
  <c r="J171" i="73"/>
  <c r="K171" i="73"/>
  <c r="H170" i="73"/>
  <c r="J170" i="73" s="1"/>
  <c r="H169" i="73"/>
  <c r="J169" i="73"/>
  <c r="K169" i="73" s="1"/>
  <c r="H168" i="73"/>
  <c r="J168" i="73"/>
  <c r="K168" i="73"/>
  <c r="H167" i="73"/>
  <c r="J167" i="73" s="1"/>
  <c r="K167" i="73" s="1"/>
  <c r="H166" i="73"/>
  <c r="J166" i="73" s="1"/>
  <c r="H165" i="73"/>
  <c r="J165" i="73"/>
  <c r="H164" i="73"/>
  <c r="J164" i="73"/>
  <c r="H163" i="73"/>
  <c r="J163" i="73"/>
  <c r="K163" i="73" s="1"/>
  <c r="H162" i="73"/>
  <c r="J162" i="73"/>
  <c r="H161" i="73"/>
  <c r="J161" i="73"/>
  <c r="K161" i="73" s="1"/>
  <c r="H160" i="73"/>
  <c r="J160" i="73"/>
  <c r="K160" i="73" s="1"/>
  <c r="H159" i="73"/>
  <c r="J159" i="73"/>
  <c r="H158" i="73"/>
  <c r="J158" i="73" s="1"/>
  <c r="K158" i="73" s="1"/>
  <c r="H157" i="73"/>
  <c r="J157" i="73" s="1"/>
  <c r="H156" i="73"/>
  <c r="J156" i="73" s="1"/>
  <c r="H155" i="73"/>
  <c r="J155" i="73"/>
  <c r="K155" i="73"/>
  <c r="H154" i="73"/>
  <c r="J154" i="73" s="1"/>
  <c r="K154" i="73" s="1"/>
  <c r="H153" i="73"/>
  <c r="J153" i="73"/>
  <c r="H152" i="73"/>
  <c r="J152" i="73" s="1"/>
  <c r="K152" i="73" s="1"/>
  <c r="H151" i="73"/>
  <c r="J151" i="73"/>
  <c r="H150" i="73"/>
  <c r="J150" i="73" s="1"/>
  <c r="H149" i="73"/>
  <c r="J149" i="73" s="1"/>
  <c r="K149" i="73" s="1"/>
  <c r="H148" i="73"/>
  <c r="J148" i="73"/>
  <c r="K148" i="73" s="1"/>
  <c r="H147" i="73"/>
  <c r="J147" i="73" s="1"/>
  <c r="K147" i="73" s="1"/>
  <c r="H146" i="73"/>
  <c r="J146" i="73" s="1"/>
  <c r="H145" i="73"/>
  <c r="J145" i="73"/>
  <c r="K145" i="73"/>
  <c r="H144" i="73"/>
  <c r="J144" i="73" s="1"/>
  <c r="K144" i="73" s="1"/>
  <c r="D144" i="73"/>
  <c r="H143" i="73"/>
  <c r="J143" i="73"/>
  <c r="K143" i="73" s="1"/>
  <c r="D143" i="73"/>
  <c r="H142" i="73"/>
  <c r="D142" i="73"/>
  <c r="J142" i="73"/>
  <c r="K142" i="73" s="1"/>
  <c r="H141" i="73"/>
  <c r="D141" i="73"/>
  <c r="J141" i="73"/>
  <c r="K141" i="73" s="1"/>
  <c r="H140" i="73"/>
  <c r="D140" i="73"/>
  <c r="J140" i="73"/>
  <c r="K140" i="73"/>
  <c r="H139" i="73"/>
  <c r="D139" i="73"/>
  <c r="H138" i="73"/>
  <c r="J138" i="73" s="1"/>
  <c r="D138" i="73"/>
  <c r="H137" i="73"/>
  <c r="D137" i="73"/>
  <c r="J137" i="73" s="1"/>
  <c r="H136" i="73"/>
  <c r="D136" i="73"/>
  <c r="J136" i="73"/>
  <c r="K136" i="73" s="1"/>
  <c r="H135" i="73"/>
  <c r="D135" i="73"/>
  <c r="J135" i="73"/>
  <c r="K135" i="73" s="1"/>
  <c r="H134" i="73"/>
  <c r="J134" i="73" s="1"/>
  <c r="D134" i="73"/>
  <c r="H133" i="73"/>
  <c r="D133" i="73"/>
  <c r="J133" i="73" s="1"/>
  <c r="H132" i="73"/>
  <c r="D132" i="73"/>
  <c r="J132" i="73" s="1"/>
  <c r="K132" i="73" s="1"/>
  <c r="H131" i="73"/>
  <c r="D131" i="73"/>
  <c r="J131" i="73" s="1"/>
  <c r="K131" i="73" s="1"/>
  <c r="H130" i="73"/>
  <c r="D130" i="73"/>
  <c r="J130" i="73" s="1"/>
  <c r="K130" i="73" s="1"/>
  <c r="H129" i="73"/>
  <c r="D129" i="73"/>
  <c r="J129" i="73" s="1"/>
  <c r="K129" i="73" s="1"/>
  <c r="H128" i="73"/>
  <c r="D128" i="73"/>
  <c r="J128" i="73"/>
  <c r="K128" i="73" s="1"/>
  <c r="H127" i="73"/>
  <c r="D127" i="73"/>
  <c r="J127" i="73" s="1"/>
  <c r="K127" i="73" s="1"/>
  <c r="H126" i="73"/>
  <c r="J126" i="73" s="1"/>
  <c r="D126" i="73"/>
  <c r="H125" i="73"/>
  <c r="D125" i="73"/>
  <c r="J125" i="73" s="1"/>
  <c r="K125" i="73" s="1"/>
  <c r="H124" i="73"/>
  <c r="D124" i="73"/>
  <c r="J124" i="73" s="1"/>
  <c r="K124" i="73" s="1"/>
  <c r="H123" i="73"/>
  <c r="J123" i="73" s="1"/>
  <c r="D123" i="73"/>
  <c r="H122" i="73"/>
  <c r="D122" i="73"/>
  <c r="J122" i="73" s="1"/>
  <c r="K122" i="73" s="1"/>
  <c r="H121" i="73"/>
  <c r="D121" i="73"/>
  <c r="J121" i="73" s="1"/>
  <c r="K121" i="73" s="1"/>
  <c r="H120" i="73"/>
  <c r="K120" i="73"/>
  <c r="D120" i="73"/>
  <c r="J120" i="73" s="1"/>
  <c r="H119" i="73"/>
  <c r="D119" i="73"/>
  <c r="H118" i="73"/>
  <c r="D118" i="73"/>
  <c r="J118" i="73" s="1"/>
  <c r="K118" i="73" s="1"/>
  <c r="H117" i="73"/>
  <c r="D117" i="73"/>
  <c r="J117" i="73" s="1"/>
  <c r="K117" i="73" s="1"/>
  <c r="H116" i="73"/>
  <c r="D116" i="73"/>
  <c r="H115" i="73"/>
  <c r="D115" i="73"/>
  <c r="J115" i="73" s="1"/>
  <c r="K115" i="73" s="1"/>
  <c r="H114" i="73"/>
  <c r="J114" i="73"/>
  <c r="D114" i="73"/>
  <c r="H113" i="73"/>
  <c r="D113" i="73"/>
  <c r="J113" i="73"/>
  <c r="K113" i="73"/>
  <c r="H112" i="73"/>
  <c r="D112" i="73"/>
  <c r="J112" i="73"/>
  <c r="K112" i="73" s="1"/>
  <c r="H111" i="73"/>
  <c r="D111" i="73"/>
  <c r="H110" i="73"/>
  <c r="J110" i="73"/>
  <c r="K110" i="73" s="1"/>
  <c r="D110" i="73"/>
  <c r="H109" i="73"/>
  <c r="D109" i="73"/>
  <c r="J109" i="73" s="1"/>
  <c r="K109" i="73" s="1"/>
  <c r="H108" i="73"/>
  <c r="J108" i="73"/>
  <c r="K108" i="73" s="1"/>
  <c r="D108" i="73"/>
  <c r="H107" i="73"/>
  <c r="J107" i="73" s="1"/>
  <c r="D107" i="73"/>
  <c r="H106" i="73"/>
  <c r="D106" i="73"/>
  <c r="H105" i="73"/>
  <c r="J105" i="73"/>
  <c r="D105" i="73"/>
  <c r="H104" i="73"/>
  <c r="J104" i="73"/>
  <c r="K104" i="73" s="1"/>
  <c r="D104" i="73"/>
  <c r="H103" i="73"/>
  <c r="D103" i="73"/>
  <c r="J103" i="73" s="1"/>
  <c r="K103" i="73" s="1"/>
  <c r="H102" i="73"/>
  <c r="D102" i="73"/>
  <c r="J102" i="73" s="1"/>
  <c r="K102" i="73" s="1"/>
  <c r="H101" i="73"/>
  <c r="D101" i="73"/>
  <c r="J101" i="73" s="1"/>
  <c r="H100" i="73"/>
  <c r="D100" i="73"/>
  <c r="J100" i="73" s="1"/>
  <c r="H99" i="73"/>
  <c r="J99" i="73" s="1"/>
  <c r="D99" i="73"/>
  <c r="H98" i="73"/>
  <c r="D98" i="73"/>
  <c r="J98" i="73" s="1"/>
  <c r="K98" i="73" s="1"/>
  <c r="H97" i="73"/>
  <c r="D97" i="73"/>
  <c r="J97" i="73" s="1"/>
  <c r="H96" i="73"/>
  <c r="D96" i="73"/>
  <c r="J96" i="73" s="1"/>
  <c r="K96" i="73" s="1"/>
  <c r="H95" i="73"/>
  <c r="D95" i="73"/>
  <c r="J95" i="73" s="1"/>
  <c r="H94" i="73"/>
  <c r="J94" i="73" s="1"/>
  <c r="K94" i="73" s="1"/>
  <c r="D94" i="73"/>
  <c r="H93" i="73"/>
  <c r="D93" i="73"/>
  <c r="J93" i="73" s="1"/>
  <c r="H92" i="73"/>
  <c r="D92" i="73"/>
  <c r="J92" i="73" s="1"/>
  <c r="K92" i="73" s="1"/>
  <c r="H91" i="73"/>
  <c r="D91" i="73"/>
  <c r="J91" i="73" s="1"/>
  <c r="K91" i="73" s="1"/>
  <c r="H90" i="73"/>
  <c r="J90" i="73" s="1"/>
  <c r="D90" i="73"/>
  <c r="H89" i="73"/>
  <c r="J89" i="73" s="1"/>
  <c r="D89" i="73"/>
  <c r="H88" i="73"/>
  <c r="D88" i="73"/>
  <c r="J88" i="73"/>
  <c r="K88" i="73" s="1"/>
  <c r="H87" i="73"/>
  <c r="J87" i="73"/>
  <c r="D87" i="73"/>
  <c r="H86" i="73"/>
  <c r="D86" i="73"/>
  <c r="J86" i="73" s="1"/>
  <c r="K86" i="73" s="1"/>
  <c r="H85" i="73"/>
  <c r="J85" i="73" s="1"/>
  <c r="D85" i="73"/>
  <c r="H84" i="73"/>
  <c r="D84" i="73"/>
  <c r="J84" i="73" s="1"/>
  <c r="H83" i="73"/>
  <c r="J83" i="73" s="1"/>
  <c r="K83" i="73" s="1"/>
  <c r="D83" i="73"/>
  <c r="H82" i="73"/>
  <c r="J82" i="73"/>
  <c r="K82" i="73" s="1"/>
  <c r="D82" i="73"/>
  <c r="H81" i="73"/>
  <c r="K81" i="73"/>
  <c r="D81" i="73"/>
  <c r="J81" i="73" s="1"/>
  <c r="H80" i="73"/>
  <c r="D80" i="73"/>
  <c r="J80" i="73" s="1"/>
  <c r="K80" i="73" s="1"/>
  <c r="H79" i="73"/>
  <c r="D79" i="73"/>
  <c r="J79" i="73" s="1"/>
  <c r="H78" i="73"/>
  <c r="D78" i="73"/>
  <c r="J78" i="73" s="1"/>
  <c r="H77" i="73"/>
  <c r="D77" i="73"/>
  <c r="J77" i="73" s="1"/>
  <c r="H76" i="73"/>
  <c r="J76" i="73" s="1"/>
  <c r="K76" i="73" s="1"/>
  <c r="D76" i="73"/>
  <c r="H75" i="73"/>
  <c r="D75" i="73"/>
  <c r="J75" i="73" s="1"/>
  <c r="H74" i="73"/>
  <c r="J74" i="73" s="1"/>
  <c r="K74" i="73" s="1"/>
  <c r="D74" i="73"/>
  <c r="H73" i="73"/>
  <c r="J73" i="73"/>
  <c r="D73" i="73"/>
  <c r="H72" i="73"/>
  <c r="K72" i="73"/>
  <c r="D72" i="73"/>
  <c r="J72" i="73" s="1"/>
  <c r="H71" i="73"/>
  <c r="D71" i="73"/>
  <c r="J71" i="73" s="1"/>
  <c r="K71" i="73" s="1"/>
  <c r="H70" i="73"/>
  <c r="D70" i="73"/>
  <c r="J70" i="73" s="1"/>
  <c r="K70" i="73" s="1"/>
  <c r="H69" i="73"/>
  <c r="D69" i="73"/>
  <c r="H68" i="73"/>
  <c r="J68" i="73"/>
  <c r="D68" i="73"/>
  <c r="H67" i="73"/>
  <c r="D67" i="73"/>
  <c r="J67" i="73" s="1"/>
  <c r="K67" i="73" s="1"/>
  <c r="H66" i="73"/>
  <c r="J66" i="73" s="1"/>
  <c r="D66" i="73"/>
  <c r="H65" i="73"/>
  <c r="D65" i="73"/>
  <c r="H64" i="73"/>
  <c r="D64" i="73"/>
  <c r="J64" i="73" s="1"/>
  <c r="H63" i="73"/>
  <c r="K63" i="73"/>
  <c r="D63" i="73"/>
  <c r="J63" i="73" s="1"/>
  <c r="H62" i="73"/>
  <c r="K62" i="73"/>
  <c r="D62" i="73"/>
  <c r="J62" i="73" s="1"/>
  <c r="H61" i="73"/>
  <c r="D61" i="73"/>
  <c r="J61" i="73" s="1"/>
  <c r="H60" i="73"/>
  <c r="D60" i="73"/>
  <c r="J60" i="73"/>
  <c r="K60" i="73"/>
  <c r="H59" i="73"/>
  <c r="D59" i="73"/>
  <c r="H58" i="73"/>
  <c r="D58" i="73"/>
  <c r="J58" i="73" s="1"/>
  <c r="K58" i="73" s="1"/>
  <c r="H57" i="73"/>
  <c r="J57" i="73" s="1"/>
  <c r="K57" i="73" s="1"/>
  <c r="D57" i="73"/>
  <c r="D56" i="73"/>
  <c r="J56" i="73" s="1"/>
  <c r="D55" i="73"/>
  <c r="J55" i="73"/>
  <c r="K55" i="73"/>
  <c r="D54" i="73"/>
  <c r="J54" i="73" s="1"/>
  <c r="K54" i="73" s="1"/>
  <c r="D53" i="73"/>
  <c r="J53" i="73"/>
  <c r="K53" i="73" s="1"/>
  <c r="D52" i="73"/>
  <c r="J52" i="73"/>
  <c r="D51" i="73"/>
  <c r="J51" i="73"/>
  <c r="D50" i="73"/>
  <c r="J50" i="73" s="1"/>
  <c r="D49" i="73"/>
  <c r="J49" i="73" s="1"/>
  <c r="D48" i="73"/>
  <c r="J48" i="73"/>
  <c r="K48" i="73"/>
  <c r="D47" i="73"/>
  <c r="J47" i="73" s="1"/>
  <c r="D46" i="73"/>
  <c r="J46" i="73"/>
  <c r="K46" i="73" s="1"/>
  <c r="D45" i="73"/>
  <c r="J45" i="73" s="1"/>
  <c r="D44" i="73"/>
  <c r="J44" i="73"/>
  <c r="D43" i="73"/>
  <c r="J43" i="73" s="1"/>
  <c r="K43" i="73" s="1"/>
  <c r="D42" i="73"/>
  <c r="J42" i="73"/>
  <c r="D41" i="73"/>
  <c r="J41" i="73" s="1"/>
  <c r="D40" i="73"/>
  <c r="J40" i="73"/>
  <c r="K40" i="73" s="1"/>
  <c r="D39" i="73"/>
  <c r="J39" i="73" s="1"/>
  <c r="K39" i="73" s="1"/>
  <c r="D38" i="73"/>
  <c r="J38" i="73" s="1"/>
  <c r="D37" i="73"/>
  <c r="J37" i="73"/>
  <c r="D36" i="73"/>
  <c r="J36" i="73" s="1"/>
  <c r="K36" i="73" s="1"/>
  <c r="D35" i="73"/>
  <c r="J35" i="73" s="1"/>
  <c r="K35" i="73" s="1"/>
  <c r="D34" i="73"/>
  <c r="J34" i="73" s="1"/>
  <c r="D33" i="73"/>
  <c r="J33" i="73"/>
  <c r="K33" i="73"/>
  <c r="D32" i="73"/>
  <c r="J32" i="73" s="1"/>
  <c r="K32" i="73" s="1"/>
  <c r="D31" i="73"/>
  <c r="J31" i="73" s="1"/>
  <c r="D30" i="73"/>
  <c r="J30" i="73"/>
  <c r="D29" i="73"/>
  <c r="J29" i="73"/>
  <c r="K29" i="73" s="1"/>
  <c r="D28" i="73"/>
  <c r="J28" i="73"/>
  <c r="K28" i="73" s="1"/>
  <c r="D27" i="73"/>
  <c r="J27" i="73" s="1"/>
  <c r="K27" i="73" s="1"/>
  <c r="D26" i="73"/>
  <c r="J26" i="73" s="1"/>
  <c r="D25" i="73"/>
  <c r="J25" i="73" s="1"/>
  <c r="D24" i="73"/>
  <c r="J24" i="73" s="1"/>
  <c r="K24" i="73" s="1"/>
  <c r="D23" i="73"/>
  <c r="J23" i="73"/>
  <c r="D22" i="73"/>
  <c r="J22" i="73"/>
  <c r="K22" i="73" s="1"/>
  <c r="D21" i="73"/>
  <c r="J21" i="73"/>
  <c r="K21" i="73" s="1"/>
  <c r="D20" i="73"/>
  <c r="J20" i="73"/>
  <c r="D19" i="73"/>
  <c r="J19" i="73"/>
  <c r="K19" i="73" s="1"/>
  <c r="D18" i="73"/>
  <c r="J18" i="73"/>
  <c r="D17" i="73"/>
  <c r="J17" i="73"/>
  <c r="D16" i="73"/>
  <c r="J16" i="73"/>
  <c r="D15" i="73"/>
  <c r="J15" i="73" s="1"/>
  <c r="K15" i="73"/>
  <c r="D14" i="73"/>
  <c r="J14" i="73" s="1"/>
  <c r="K14" i="73" s="1"/>
  <c r="D13" i="73"/>
  <c r="J13" i="73" s="1"/>
  <c r="K13" i="73" s="1"/>
  <c r="D12" i="73"/>
  <c r="J12" i="73"/>
  <c r="K12" i="73" s="1"/>
  <c r="D11" i="73"/>
  <c r="J11" i="73" s="1"/>
  <c r="K11" i="73" s="1"/>
  <c r="D10" i="73"/>
  <c r="J10" i="73"/>
  <c r="D9" i="73"/>
  <c r="J9" i="73"/>
  <c r="K9" i="73" s="1"/>
  <c r="D8" i="73"/>
  <c r="J8" i="73" s="1"/>
  <c r="K8" i="73" s="1"/>
  <c r="D7" i="73"/>
  <c r="J7" i="73" s="1"/>
  <c r="K7" i="73" s="1"/>
  <c r="D6" i="73"/>
  <c r="J6" i="73"/>
  <c r="K6" i="73" s="1"/>
  <c r="D5" i="73"/>
  <c r="J5" i="73"/>
  <c r="D4" i="73"/>
  <c r="J4" i="73"/>
  <c r="K4" i="73" s="1"/>
  <c r="F24" i="67"/>
  <c r="F34" i="71"/>
  <c r="T12" i="71"/>
  <c r="V12" i="71"/>
  <c r="Q24" i="67" s="1"/>
  <c r="V14" i="71"/>
  <c r="B34" i="71"/>
  <c r="H12" i="71" s="1"/>
  <c r="H14" i="71" s="1"/>
  <c r="F32" i="71"/>
  <c r="B32" i="71"/>
  <c r="E27" i="71"/>
  <c r="O12" i="71"/>
  <c r="H24" i="67"/>
  <c r="U12" i="71"/>
  <c r="P24" i="67"/>
  <c r="R12" i="71"/>
  <c r="D24" i="67"/>
  <c r="Q12" i="71"/>
  <c r="L12" i="71"/>
  <c r="L24" i="67"/>
  <c r="K12" i="71"/>
  <c r="K14" i="71" s="1"/>
  <c r="M12" i="71"/>
  <c r="M14" i="71"/>
  <c r="M24" i="67" s="1"/>
  <c r="I12" i="71"/>
  <c r="F14" i="71"/>
  <c r="C12" i="71"/>
  <c r="E33" i="70"/>
  <c r="D33" i="70"/>
  <c r="C33" i="70"/>
  <c r="F31" i="70"/>
  <c r="T11" i="70" s="1"/>
  <c r="B31" i="70"/>
  <c r="E26" i="70"/>
  <c r="O11" i="70"/>
  <c r="H23" i="67" s="1"/>
  <c r="U11" i="70"/>
  <c r="P23" i="67"/>
  <c r="N11" i="70"/>
  <c r="N13" i="70"/>
  <c r="C11" i="70"/>
  <c r="K11" i="70" s="1"/>
  <c r="K13" i="70" s="1"/>
  <c r="M11" i="70"/>
  <c r="M23" i="67" s="1"/>
  <c r="M13" i="70"/>
  <c r="N12" i="71"/>
  <c r="Q11" i="70"/>
  <c r="S11" i="70" s="1"/>
  <c r="F11" i="70"/>
  <c r="R11" i="70"/>
  <c r="F23" i="67" s="1"/>
  <c r="D23" i="67"/>
  <c r="H29" i="54"/>
  <c r="I29" i="54" s="1"/>
  <c r="D18" i="54"/>
  <c r="F33" i="64"/>
  <c r="F35" i="64"/>
  <c r="Q20" i="67" s="1"/>
  <c r="P20" i="67" s="1"/>
  <c r="B11" i="68"/>
  <c r="D11" i="68"/>
  <c r="G11" i="68" s="1"/>
  <c r="F11" i="68"/>
  <c r="G22" i="68"/>
  <c r="E17" i="68"/>
  <c r="F17" i="68"/>
  <c r="F22" i="68" s="1"/>
  <c r="H17" i="68"/>
  <c r="H22" i="68" s="1"/>
  <c r="I17" i="68"/>
  <c r="I22" i="68" s="1"/>
  <c r="E18" i="68"/>
  <c r="B12" i="68"/>
  <c r="C12" i="68"/>
  <c r="E12" i="68"/>
  <c r="F18" i="68"/>
  <c r="D17" i="68"/>
  <c r="D18" i="68"/>
  <c r="B45" i="62"/>
  <c r="E45" i="62"/>
  <c r="B46" i="62"/>
  <c r="B62" i="62" s="1"/>
  <c r="H62" i="62" s="1"/>
  <c r="B69" i="62" s="1"/>
  <c r="F69" i="62" s="1"/>
  <c r="E46" i="62"/>
  <c r="R22" i="67"/>
  <c r="S22" i="67"/>
  <c r="T22" i="67"/>
  <c r="U22" i="67" s="1"/>
  <c r="N22" i="67"/>
  <c r="B38" i="54"/>
  <c r="B39" i="54" s="1"/>
  <c r="D19" i="66"/>
  <c r="D20" i="66" s="1"/>
  <c r="Q21" i="67" s="1"/>
  <c r="P21" i="67" s="1"/>
  <c r="D14" i="54"/>
  <c r="G93" i="55"/>
  <c r="H93" i="55"/>
  <c r="G16" i="55"/>
  <c r="H16" i="55" s="1"/>
  <c r="B18" i="54"/>
  <c r="B42" i="54"/>
  <c r="D17" i="1" s="1"/>
  <c r="H30" i="54"/>
  <c r="I30" i="54"/>
  <c r="H31" i="54"/>
  <c r="H32" i="54"/>
  <c r="I34" i="54"/>
  <c r="G19" i="67"/>
  <c r="G20" i="67"/>
  <c r="G21" i="67"/>
  <c r="R18" i="67"/>
  <c r="S18" i="67"/>
  <c r="R19" i="67"/>
  <c r="S19" i="67" s="1"/>
  <c r="R20" i="67"/>
  <c r="S20" i="67" s="1"/>
  <c r="R21" i="67"/>
  <c r="S21" i="67"/>
  <c r="T18" i="67"/>
  <c r="U18" i="67" s="1"/>
  <c r="T19" i="67"/>
  <c r="U19" i="67" s="1"/>
  <c r="T20" i="67"/>
  <c r="U20" i="67" s="1"/>
  <c r="T21" i="67"/>
  <c r="U21" i="67"/>
  <c r="E19" i="67"/>
  <c r="E20" i="67"/>
  <c r="E21" i="67"/>
  <c r="P18" i="67"/>
  <c r="F15" i="64"/>
  <c r="F16" i="64" s="1"/>
  <c r="F17" i="64" s="1"/>
  <c r="F19" i="64"/>
  <c r="Q19" i="67"/>
  <c r="P19" i="67"/>
  <c r="C17" i="1"/>
  <c r="B58" i="54"/>
  <c r="B33" i="62"/>
  <c r="G19" i="55"/>
  <c r="J19" i="55" s="1"/>
  <c r="K19" i="55" s="1"/>
  <c r="G37" i="55"/>
  <c r="J37" i="55" s="1"/>
  <c r="K37" i="55"/>
  <c r="G21" i="55"/>
  <c r="D42" i="54"/>
  <c r="D38" i="54"/>
  <c r="K17" i="1" s="1"/>
  <c r="E22" i="68"/>
  <c r="E33" i="62"/>
  <c r="H33" i="62"/>
  <c r="B39" i="62" s="1"/>
  <c r="F39" i="62" s="1"/>
  <c r="D22" i="68"/>
  <c r="E20" i="68"/>
  <c r="D20" i="76"/>
  <c r="E264" i="76"/>
  <c r="D268" i="76" s="1"/>
  <c r="D15" i="76" s="1"/>
  <c r="E263" i="76"/>
  <c r="D266" i="76"/>
  <c r="D14" i="76" s="1"/>
  <c r="D205" i="76"/>
  <c r="D239" i="76"/>
  <c r="D12" i="76" s="1"/>
  <c r="D203" i="76"/>
  <c r="E34" i="75"/>
  <c r="H35" i="75"/>
  <c r="B42" i="75" s="1"/>
  <c r="F42" i="75" s="1"/>
  <c r="E62" i="62"/>
  <c r="B61" i="62"/>
  <c r="J69" i="73"/>
  <c r="J111" i="73"/>
  <c r="K111" i="73" s="1"/>
  <c r="K151" i="73"/>
  <c r="K196" i="73"/>
  <c r="K47" i="73"/>
  <c r="K41" i="73"/>
  <c r="K45" i="73"/>
  <c r="K20" i="73"/>
  <c r="K52" i="73"/>
  <c r="K31" i="73"/>
  <c r="K23" i="73"/>
  <c r="K16" i="73"/>
  <c r="K25" i="73"/>
  <c r="K17" i="73"/>
  <c r="K37" i="73"/>
  <c r="K5" i="73"/>
  <c r="K44" i="73"/>
  <c r="K38" i="73"/>
  <c r="K30" i="73"/>
  <c r="G73" i="55"/>
  <c r="H73" i="55" s="1"/>
  <c r="G84" i="55"/>
  <c r="H84" i="55" s="1"/>
  <c r="J84" i="55"/>
  <c r="K84" i="55" s="1"/>
  <c r="G39" i="55"/>
  <c r="G22" i="55"/>
  <c r="G44" i="55"/>
  <c r="G41" i="55"/>
  <c r="J41" i="55" s="1"/>
  <c r="K41" i="55" s="1"/>
  <c r="I32" i="54"/>
  <c r="G70" i="55"/>
  <c r="H70" i="55"/>
  <c r="G82" i="55"/>
  <c r="J82" i="55" s="1"/>
  <c r="K82" i="55" s="1"/>
  <c r="G89" i="55"/>
  <c r="J89" i="55" s="1"/>
  <c r="I33" i="54"/>
  <c r="G34" i="55"/>
  <c r="H34" i="55" s="1"/>
  <c r="G26" i="55"/>
  <c r="J26" i="55" s="1"/>
  <c r="K26" i="55" s="1"/>
  <c r="G24" i="55"/>
  <c r="G40" i="55"/>
  <c r="G46" i="55" s="1"/>
  <c r="G23" i="55"/>
  <c r="G36" i="55"/>
  <c r="H36" i="55" s="1"/>
  <c r="G29" i="55"/>
  <c r="H19" i="55"/>
  <c r="G18" i="55"/>
  <c r="G67" i="55"/>
  <c r="J67" i="55" s="1"/>
  <c r="H67" i="55"/>
  <c r="G71" i="55"/>
  <c r="H71" i="55"/>
  <c r="G86" i="55"/>
  <c r="G90" i="55"/>
  <c r="J90" i="55"/>
  <c r="K90" i="55" s="1"/>
  <c r="G68" i="55"/>
  <c r="J68" i="55"/>
  <c r="K68" i="55"/>
  <c r="G78" i="55"/>
  <c r="J78" i="55" s="1"/>
  <c r="K78" i="55" s="1"/>
  <c r="H37" i="55"/>
  <c r="G43" i="55"/>
  <c r="G35" i="55"/>
  <c r="G38" i="55"/>
  <c r="G20" i="55"/>
  <c r="G25" i="55"/>
  <c r="H25" i="55" s="1"/>
  <c r="G76" i="55"/>
  <c r="H76" i="55" s="1"/>
  <c r="G94" i="55"/>
  <c r="J94" i="55"/>
  <c r="K94" i="55" s="1"/>
  <c r="G32" i="55"/>
  <c r="J32" i="55"/>
  <c r="K32" i="55" s="1"/>
  <c r="G31" i="55"/>
  <c r="J31" i="55"/>
  <c r="K31" i="55"/>
  <c r="I31" i="54"/>
  <c r="G30" i="55"/>
  <c r="G28" i="55"/>
  <c r="G27" i="55"/>
  <c r="H27" i="55" s="1"/>
  <c r="G17" i="55"/>
  <c r="J17" i="55" s="1"/>
  <c r="K17" i="55" s="1"/>
  <c r="G33" i="55"/>
  <c r="J33" i="55" s="1"/>
  <c r="G42" i="55"/>
  <c r="H42" i="55" s="1"/>
  <c r="G77" i="55"/>
  <c r="G83" i="55"/>
  <c r="J83" i="55" s="1"/>
  <c r="K83" i="55" s="1"/>
  <c r="G88" i="55"/>
  <c r="J88" i="55" s="1"/>
  <c r="K88" i="55" s="1"/>
  <c r="H31" i="55"/>
  <c r="P11" i="70"/>
  <c r="H32" i="55"/>
  <c r="J21" i="55"/>
  <c r="K21" i="55"/>
  <c r="H21" i="55"/>
  <c r="H17" i="55"/>
  <c r="B46" i="54"/>
  <c r="K67" i="55"/>
  <c r="T14" i="71"/>
  <c r="D135" i="76"/>
  <c r="D137" i="76"/>
  <c r="H78" i="55"/>
  <c r="S12" i="71"/>
  <c r="Q14" i="71"/>
  <c r="K166" i="73"/>
  <c r="K56" i="73"/>
  <c r="B52" i="54"/>
  <c r="B60" i="54" s="1"/>
  <c r="B63" i="54" s="1"/>
  <c r="P17" i="1" s="1"/>
  <c r="P17" i="67" s="1"/>
  <c r="Q17" i="67" s="1"/>
  <c r="G96" i="55"/>
  <c r="H96" i="55" s="1"/>
  <c r="G91" i="55"/>
  <c r="G85" i="55"/>
  <c r="J85" i="55"/>
  <c r="K85" i="55"/>
  <c r="G81" i="55"/>
  <c r="J81" i="55" s="1"/>
  <c r="K81" i="55" s="1"/>
  <c r="H81" i="55"/>
  <c r="G79" i="55"/>
  <c r="H79" i="55" s="1"/>
  <c r="J79" i="55"/>
  <c r="K79" i="55" s="1"/>
  <c r="G75" i="55"/>
  <c r="G69" i="55"/>
  <c r="H69" i="55"/>
  <c r="G15" i="55"/>
  <c r="H15" i="55" s="1"/>
  <c r="H68" i="55"/>
  <c r="G72" i="55"/>
  <c r="J72" i="55"/>
  <c r="K72" i="55" s="1"/>
  <c r="G74" i="55"/>
  <c r="J74" i="55"/>
  <c r="K74" i="55"/>
  <c r="G80" i="55"/>
  <c r="G87" i="55"/>
  <c r="G92" i="55"/>
  <c r="G95" i="55"/>
  <c r="L11" i="70"/>
  <c r="L23" i="67"/>
  <c r="K173" i="73"/>
  <c r="J106" i="73"/>
  <c r="J119" i="73"/>
  <c r="K119" i="73" s="1"/>
  <c r="J139" i="73"/>
  <c r="B34" i="75"/>
  <c r="H34" i="75" s="1"/>
  <c r="B41" i="75" s="1"/>
  <c r="F41" i="75" s="1"/>
  <c r="E61" i="62"/>
  <c r="K51" i="73"/>
  <c r="J27" i="55"/>
  <c r="K27" i="55" s="1"/>
  <c r="H89" i="55"/>
  <c r="K89" i="55"/>
  <c r="J36" i="55"/>
  <c r="K36" i="55" s="1"/>
  <c r="H20" i="55"/>
  <c r="J20" i="55"/>
  <c r="K20" i="55"/>
  <c r="H86" i="55"/>
  <c r="J86" i="55"/>
  <c r="K86" i="55" s="1"/>
  <c r="J23" i="55"/>
  <c r="K23" i="55"/>
  <c r="H23" i="55"/>
  <c r="J34" i="55"/>
  <c r="K34" i="55" s="1"/>
  <c r="H44" i="55"/>
  <c r="J44" i="55"/>
  <c r="T17" i="1" s="1"/>
  <c r="T17" i="67" s="1"/>
  <c r="J73" i="55"/>
  <c r="K73" i="55" s="1"/>
  <c r="H77" i="55"/>
  <c r="J77" i="55"/>
  <c r="K77" i="55" s="1"/>
  <c r="J25" i="55"/>
  <c r="K25" i="55" s="1"/>
  <c r="H43" i="55"/>
  <c r="J43" i="55"/>
  <c r="K43" i="55"/>
  <c r="H26" i="55"/>
  <c r="H88" i="55"/>
  <c r="K33" i="55"/>
  <c r="H30" i="55"/>
  <c r="J30" i="55"/>
  <c r="K30" i="55" s="1"/>
  <c r="J38" i="55"/>
  <c r="K38" i="55"/>
  <c r="H38" i="55"/>
  <c r="U17" i="1"/>
  <c r="H40" i="55"/>
  <c r="H46" i="55"/>
  <c r="J40" i="55"/>
  <c r="K40" i="55" s="1"/>
  <c r="H22" i="55"/>
  <c r="J22" i="55"/>
  <c r="K22" i="55" s="1"/>
  <c r="H35" i="55"/>
  <c r="J35" i="55"/>
  <c r="K35" i="55" s="1"/>
  <c r="H24" i="55"/>
  <c r="J24" i="55"/>
  <c r="K24" i="55"/>
  <c r="J39" i="55"/>
  <c r="K39" i="55"/>
  <c r="H39" i="55"/>
  <c r="P13" i="70"/>
  <c r="I23" i="67"/>
  <c r="J80" i="55"/>
  <c r="K80" i="55" s="1"/>
  <c r="H80" i="55"/>
  <c r="G24" i="67"/>
  <c r="E24" i="67"/>
  <c r="S14" i="71"/>
  <c r="J15" i="55"/>
  <c r="D63" i="54"/>
  <c r="H92" i="55"/>
  <c r="H98" i="55" s="1"/>
  <c r="J92" i="55"/>
  <c r="K92" i="55"/>
  <c r="G98" i="55"/>
  <c r="H72" i="55"/>
  <c r="H85" i="55"/>
  <c r="J91" i="55"/>
  <c r="K91" i="55"/>
  <c r="H91" i="55"/>
  <c r="F17" i="1"/>
  <c r="L17" i="67" s="1"/>
  <c r="M17" i="67" s="1"/>
  <c r="D46" i="54"/>
  <c r="G17" i="1"/>
  <c r="K44" i="55"/>
  <c r="J46" i="55"/>
  <c r="K46" i="55"/>
  <c r="K15" i="55"/>
  <c r="U17" i="67"/>
  <c r="K134" i="73"/>
  <c r="K157" i="73"/>
  <c r="K137" i="73"/>
  <c r="K87" i="73"/>
  <c r="K61" i="73"/>
  <c r="K99" i="73"/>
  <c r="K69" i="73"/>
  <c r="K78" i="73"/>
  <c r="K95" i="73"/>
  <c r="K64" i="73"/>
  <c r="K73" i="73"/>
  <c r="K77" i="73"/>
  <c r="K90" i="73"/>
  <c r="K101" i="73"/>
  <c r="K85" i="73"/>
  <c r="K106" i="73"/>
  <c r="K66" i="73"/>
  <c r="K105" i="73"/>
  <c r="K97" i="73"/>
  <c r="D10" i="59" s="1"/>
  <c r="K93" i="73"/>
  <c r="K89" i="73"/>
  <c r="H59" i="59"/>
  <c r="I59" i="59"/>
  <c r="O16" i="67" s="1"/>
  <c r="H41" i="59"/>
  <c r="I41" i="59" s="1"/>
  <c r="H28" i="59"/>
  <c r="I28" i="59" s="1"/>
  <c r="H20" i="59"/>
  <c r="I20" i="59" s="1"/>
  <c r="H94" i="55"/>
  <c r="H82" i="55"/>
  <c r="J93" i="55"/>
  <c r="K93" i="55"/>
  <c r="H74" i="55"/>
  <c r="J71" i="55"/>
  <c r="K71" i="55"/>
  <c r="H90" i="55"/>
  <c r="J69" i="55"/>
  <c r="K69" i="55"/>
  <c r="E18" i="67" l="1"/>
  <c r="D18" i="67" s="1"/>
  <c r="G23" i="67"/>
  <c r="S13" i="70"/>
  <c r="E23" i="67"/>
  <c r="H31" i="59"/>
  <c r="I31" i="59" s="1"/>
  <c r="H43" i="59"/>
  <c r="I43" i="59" s="1"/>
  <c r="H44" i="59"/>
  <c r="I44" i="59" s="1"/>
  <c r="H38" i="59"/>
  <c r="I38" i="59" s="1"/>
  <c r="H26" i="59"/>
  <c r="I26" i="59" s="1"/>
  <c r="H25" i="59"/>
  <c r="I25" i="59" s="1"/>
  <c r="H48" i="59"/>
  <c r="I48" i="59" s="1"/>
  <c r="H18" i="59"/>
  <c r="I18" i="59" s="1"/>
  <c r="H21" i="59"/>
  <c r="I21" i="59" s="1"/>
  <c r="H42" i="59"/>
  <c r="I42" i="59" s="1"/>
  <c r="H60" i="59"/>
  <c r="I60" i="59" s="1"/>
  <c r="Q16" i="67" s="1"/>
  <c r="H54" i="59"/>
  <c r="I54" i="59" s="1"/>
  <c r="H55" i="59"/>
  <c r="Q13" i="70"/>
  <c r="H40" i="59"/>
  <c r="I40" i="59" s="1"/>
  <c r="H57" i="59"/>
  <c r="I57" i="59" s="1"/>
  <c r="H50" i="59"/>
  <c r="I50" i="59" s="1"/>
  <c r="H58" i="59"/>
  <c r="I58" i="59" s="1"/>
  <c r="B53" i="54"/>
  <c r="J18" i="55"/>
  <c r="K18" i="55" s="1"/>
  <c r="H18" i="55"/>
  <c r="H45" i="55" s="1"/>
  <c r="B62" i="54"/>
  <c r="D62" i="54" s="1"/>
  <c r="I35" i="54"/>
  <c r="K18" i="73"/>
  <c r="H15" i="59"/>
  <c r="I15" i="59" s="1"/>
  <c r="H19" i="59"/>
  <c r="I19" i="59" s="1"/>
  <c r="H83" i="55"/>
  <c r="J42" i="55"/>
  <c r="K42" i="55" s="1"/>
  <c r="G14" i="71"/>
  <c r="K24" i="67" s="1"/>
  <c r="J16" i="55"/>
  <c r="J17" i="67"/>
  <c r="K17" i="67" s="1"/>
  <c r="E17" i="1"/>
  <c r="H32" i="62"/>
  <c r="B38" i="62" s="1"/>
  <c r="F38" i="62" s="1"/>
  <c r="G18" i="67" s="1"/>
  <c r="F18" i="67" s="1"/>
  <c r="K139" i="73"/>
  <c r="J95" i="55"/>
  <c r="K95" i="55" s="1"/>
  <c r="H95" i="55"/>
  <c r="I20" i="68"/>
  <c r="G97" i="55"/>
  <c r="N16" i="67"/>
  <c r="H53" i="59"/>
  <c r="I53" i="59" s="1"/>
  <c r="H51" i="59"/>
  <c r="I51" i="59" s="1"/>
  <c r="K133" i="73"/>
  <c r="H33" i="55"/>
  <c r="J87" i="55"/>
  <c r="K87" i="55" s="1"/>
  <c r="H87" i="55"/>
  <c r="H97" i="55" s="1"/>
  <c r="V11" i="70"/>
  <c r="T13" i="70"/>
  <c r="H14" i="59"/>
  <c r="H33" i="59"/>
  <c r="I33" i="59" s="1"/>
  <c r="H34" i="59"/>
  <c r="I34" i="59" s="1"/>
  <c r="H29" i="59"/>
  <c r="I29" i="59" s="1"/>
  <c r="H24" i="59"/>
  <c r="I24" i="59" s="1"/>
  <c r="H32" i="59"/>
  <c r="I32" i="59" s="1"/>
  <c r="H36" i="59"/>
  <c r="I36" i="59" s="1"/>
  <c r="Q17" i="1"/>
  <c r="H41" i="55"/>
  <c r="J28" i="55"/>
  <c r="K28" i="55" s="1"/>
  <c r="H28" i="55"/>
  <c r="H61" i="62"/>
  <c r="B68" i="62" s="1"/>
  <c r="F68" i="62" s="1"/>
  <c r="G12" i="68"/>
  <c r="F20" i="68"/>
  <c r="D20" i="68"/>
  <c r="G20" i="68"/>
  <c r="H20" i="68"/>
  <c r="H16" i="59"/>
  <c r="I16" i="59" s="1"/>
  <c r="H37" i="59"/>
  <c r="I37" i="59" s="1"/>
  <c r="H27" i="59"/>
  <c r="I27" i="59" s="1"/>
  <c r="H52" i="59"/>
  <c r="I52" i="59" s="1"/>
  <c r="E17" i="67"/>
  <c r="M17" i="1"/>
  <c r="L17" i="1" s="1"/>
  <c r="J17" i="1"/>
  <c r="D17" i="67" s="1"/>
  <c r="F17" i="67" s="1"/>
  <c r="J76" i="55"/>
  <c r="K76" i="55" s="1"/>
  <c r="J24" i="67"/>
  <c r="L25" i="67"/>
  <c r="E24" i="78"/>
  <c r="M25" i="67" s="1"/>
  <c r="H56" i="59"/>
  <c r="I56" i="59" s="1"/>
  <c r="K26" i="73"/>
  <c r="H22" i="59"/>
  <c r="I22" i="59" s="1"/>
  <c r="H35" i="59"/>
  <c r="I35" i="59" s="1"/>
  <c r="J96" i="55"/>
  <c r="G45" i="55"/>
  <c r="J29" i="55"/>
  <c r="K29" i="55" s="1"/>
  <c r="H29" i="55"/>
  <c r="H35" i="54"/>
  <c r="H47" i="59"/>
  <c r="I47" i="59" s="1"/>
  <c r="H30" i="59"/>
  <c r="I30" i="59" s="1"/>
  <c r="J70" i="55"/>
  <c r="H23" i="59"/>
  <c r="I23" i="59" s="1"/>
  <c r="H45" i="59"/>
  <c r="I45" i="59" s="1"/>
  <c r="H49" i="59"/>
  <c r="I49" i="59" s="1"/>
  <c r="H17" i="59"/>
  <c r="I17" i="59" s="1"/>
  <c r="H39" i="59"/>
  <c r="I39" i="59" s="1"/>
  <c r="H46" i="59"/>
  <c r="I46" i="59" s="1"/>
  <c r="D52" i="54"/>
  <c r="J75" i="55"/>
  <c r="K75" i="55" s="1"/>
  <c r="H75" i="55"/>
  <c r="F13" i="70"/>
  <c r="G11" i="70"/>
  <c r="K153" i="73"/>
  <c r="K138" i="73"/>
  <c r="K123" i="73"/>
  <c r="K84" i="73"/>
  <c r="K75" i="73"/>
  <c r="K114" i="73"/>
  <c r="N14" i="71"/>
  <c r="P12" i="71"/>
  <c r="J116" i="73"/>
  <c r="K116" i="73" s="1"/>
  <c r="D118" i="76"/>
  <c r="D8" i="76" s="1"/>
  <c r="K188" i="73"/>
  <c r="K181" i="73"/>
  <c r="H34" i="74"/>
  <c r="B41" i="74" s="1"/>
  <c r="F41" i="74" s="1"/>
  <c r="D170" i="76"/>
  <c r="D9" i="76" s="1"/>
  <c r="E26" i="67" s="1"/>
  <c r="J59" i="73"/>
  <c r="K59" i="73" s="1"/>
  <c r="J65" i="73"/>
  <c r="K65" i="73" s="1"/>
  <c r="K150" i="73"/>
  <c r="I11" i="70"/>
  <c r="D17" i="76"/>
  <c r="E26" i="78"/>
  <c r="I25" i="67" s="1"/>
  <c r="D25" i="67"/>
  <c r="F25" i="67" s="1"/>
  <c r="G26" i="67" l="1"/>
  <c r="V13" i="70"/>
  <c r="Q23" i="67"/>
  <c r="B23" i="54"/>
  <c r="D23" i="54" s="1"/>
  <c r="H17" i="1"/>
  <c r="K70" i="55"/>
  <c r="J97" i="55"/>
  <c r="K97" i="55" s="1"/>
  <c r="J98" i="55"/>
  <c r="K98" i="55" s="1"/>
  <c r="K96" i="55"/>
  <c r="J11" i="70"/>
  <c r="J23" i="67"/>
  <c r="P14" i="71"/>
  <c r="I24" i="67"/>
  <c r="K23" i="67"/>
  <c r="H11" i="70"/>
  <c r="H13" i="70" s="1"/>
  <c r="G13" i="70"/>
  <c r="F24" i="68"/>
  <c r="I22" i="67" s="1"/>
  <c r="H22" i="67" s="1"/>
  <c r="K16" i="55"/>
  <c r="J45" i="55"/>
  <c r="H24" i="68"/>
  <c r="Q22" i="67" s="1"/>
  <c r="P22" i="67" s="1"/>
  <c r="I14" i="59"/>
  <c r="I61" i="59" s="1"/>
  <c r="S16" i="67" s="1"/>
  <c r="H61" i="59"/>
  <c r="G17" i="67"/>
  <c r="H21" i="68"/>
  <c r="I21" i="68"/>
  <c r="I24" i="68" s="1"/>
  <c r="M22" i="67" s="1"/>
  <c r="G21" i="68"/>
  <c r="G24" i="68" s="1"/>
  <c r="K22" i="67" s="1"/>
  <c r="E21" i="68"/>
  <c r="E24" i="68" s="1"/>
  <c r="G22" i="67" s="1"/>
  <c r="F22" i="67" s="1"/>
  <c r="D21" i="68"/>
  <c r="D24" i="68" s="1"/>
  <c r="E22" i="67" s="1"/>
  <c r="F21" i="68"/>
  <c r="H62" i="59"/>
  <c r="I55" i="59"/>
  <c r="I62" i="59" s="1"/>
  <c r="U16" i="67" s="1"/>
  <c r="N17" i="1"/>
  <c r="D53" i="54"/>
  <c r="P16" i="67"/>
  <c r="Q30" i="67"/>
  <c r="D22" i="67" l="1"/>
  <c r="E30" i="67"/>
  <c r="J22" i="67"/>
  <c r="K30" i="67"/>
  <c r="L22" i="67"/>
  <c r="M30" i="67"/>
  <c r="R16" i="67"/>
  <c r="H17" i="67"/>
  <c r="I17" i="67" s="1"/>
  <c r="I30" i="67" s="1"/>
  <c r="I17" i="1"/>
  <c r="R17" i="1"/>
  <c r="K45" i="55"/>
  <c r="N17" i="67"/>
  <c r="O17" i="67" s="1"/>
  <c r="O30" i="67" s="1"/>
  <c r="O17" i="1"/>
  <c r="U30" i="67"/>
  <c r="T16" i="67"/>
  <c r="G30" i="67"/>
  <c r="R17" i="67" l="1"/>
  <c r="S17" i="67" s="1"/>
  <c r="S30" i="67" s="1"/>
  <c r="S17" i="1"/>
</calcChain>
</file>

<file path=xl/sharedStrings.xml><?xml version="1.0" encoding="utf-8"?>
<sst xmlns="http://schemas.openxmlformats.org/spreadsheetml/2006/main" count="1657" uniqueCount="719">
  <si>
    <t xml:space="preserve"> </t>
  </si>
  <si>
    <t>lb/hr</t>
  </si>
  <si>
    <t>ppmv</t>
  </si>
  <si>
    <t>Control</t>
  </si>
  <si>
    <t>MW</t>
  </si>
  <si>
    <t>Conc</t>
  </si>
  <si>
    <t>Eff</t>
  </si>
  <si>
    <t>LFG Compound</t>
  </si>
  <si>
    <t>(lb/lb-mol)</t>
  </si>
  <si>
    <t>ton/yr</t>
  </si>
  <si>
    <t>1,1,1 - Trichloroethane (methyl chloroform)</t>
  </si>
  <si>
    <t>x</t>
  </si>
  <si>
    <t>1,1,2,2 - Tetrachloroethane</t>
  </si>
  <si>
    <t>1,1 - Dichloroethane (ethylidene dichloride)</t>
  </si>
  <si>
    <t>1,1 - Dichloroethene (vinylidene chloride)</t>
  </si>
  <si>
    <t>1,2 - Dichloroethane (ethylene dichloride)</t>
  </si>
  <si>
    <t>1,2 - Dichloropropane (propylene dichloride)</t>
  </si>
  <si>
    <t>Benzene</t>
  </si>
  <si>
    <t>Carbon Disulfide</t>
  </si>
  <si>
    <t>Carbon Tetrachloride</t>
  </si>
  <si>
    <t xml:space="preserve">Carbonyl Sulfide </t>
  </si>
  <si>
    <t>Chloroethane (ethyl chloride)</t>
  </si>
  <si>
    <t>Dichloromethane (methylene chloride)</t>
  </si>
  <si>
    <t>Dimethyl Sulfide (methyl sulfide)</t>
  </si>
  <si>
    <t>Ethyl Mercaptan (ethanethiol)</t>
  </si>
  <si>
    <t>Hexane</t>
  </si>
  <si>
    <t>Hydrogen Sulfide</t>
  </si>
  <si>
    <t>Mercury (total)</t>
  </si>
  <si>
    <t>Methyl Mercaptan</t>
  </si>
  <si>
    <t>Trichloroethylene (trichloroethene)</t>
  </si>
  <si>
    <t>Emiss</t>
  </si>
  <si>
    <t>S</t>
  </si>
  <si>
    <t>Atoms</t>
  </si>
  <si>
    <t>(ppmv)</t>
  </si>
  <si>
    <t>VOC Emissions</t>
  </si>
  <si>
    <t>VOCs are 39 percent of NMOC, as prescribed in AP-42</t>
  </si>
  <si>
    <t xml:space="preserve">VOC concentration[ppmv] = NMOC concentration[as hexane]*39%  </t>
  </si>
  <si>
    <t>LFG Compound Emissions</t>
  </si>
  <si>
    <t>HCl Emissions</t>
  </si>
  <si>
    <t>b, c</t>
  </si>
  <si>
    <t>CAS</t>
  </si>
  <si>
    <t>71-55-6</t>
  </si>
  <si>
    <t>79-34-5</t>
  </si>
  <si>
    <t>75-34-3</t>
  </si>
  <si>
    <t>107-06-2</t>
  </si>
  <si>
    <t>78-87-5</t>
  </si>
  <si>
    <t>107-13-1</t>
  </si>
  <si>
    <t>71-43-2</t>
  </si>
  <si>
    <t>75-15-0</t>
  </si>
  <si>
    <t>56-23-5</t>
  </si>
  <si>
    <t>463-58-1</t>
  </si>
  <si>
    <t>108-90-7</t>
  </si>
  <si>
    <t>75-00-3</t>
  </si>
  <si>
    <t>67-66-3</t>
  </si>
  <si>
    <t>74-87-3</t>
  </si>
  <si>
    <t>106-46-7</t>
  </si>
  <si>
    <t>75-09-2</t>
  </si>
  <si>
    <t>75-18-3</t>
  </si>
  <si>
    <t>75-08-1</t>
  </si>
  <si>
    <t>100-41-4</t>
  </si>
  <si>
    <t>106-93-4</t>
  </si>
  <si>
    <t>110-54-3</t>
  </si>
  <si>
    <t>7783-06-4</t>
  </si>
  <si>
    <t>7439-97-6</t>
  </si>
  <si>
    <t>78-93-3</t>
  </si>
  <si>
    <t>108-10-1</t>
  </si>
  <si>
    <t>74-93-1</t>
  </si>
  <si>
    <t>127-18-4</t>
  </si>
  <si>
    <t>108-88-3</t>
  </si>
  <si>
    <t>79-01-6</t>
  </si>
  <si>
    <t>75-01-4</t>
  </si>
  <si>
    <t>1330-20-7</t>
  </si>
  <si>
    <t>NMOC</t>
  </si>
  <si>
    <t>Emission</t>
  </si>
  <si>
    <t>LFG Flow</t>
  </si>
  <si>
    <t>CO</t>
  </si>
  <si>
    <t>Description</t>
  </si>
  <si>
    <t xml:space="preserve">LFG inlet flow </t>
  </si>
  <si>
    <t>Flare Exhaust</t>
  </si>
  <si>
    <t>7647-01-0</t>
  </si>
  <si>
    <t>75-35-4</t>
  </si>
  <si>
    <t>Chloromethane (methyl chloride)</t>
  </si>
  <si>
    <t>Methyl Ethyl Ketone (2-butanone)</t>
  </si>
  <si>
    <t>Methyl Isobutyl Ketone (hexone)</t>
  </si>
  <si>
    <t>typically, 86% to 99.7% of chlorine compounds convert to HCl during combustion</t>
  </si>
  <si>
    <t>PM emission rate</t>
  </si>
  <si>
    <t>Heat Input</t>
  </si>
  <si>
    <t>VOC</t>
  </si>
  <si>
    <t>MMBtu/hr</t>
  </si>
  <si>
    <t>NMOC Emission Rate</t>
  </si>
  <si>
    <t>MW hexane</t>
  </si>
  <si>
    <t>lb/lb-mol</t>
  </si>
  <si>
    <t>destruction efficiency</t>
  </si>
  <si>
    <t>mass NMOC inlet gas</t>
  </si>
  <si>
    <t>NMOC emission rate</t>
  </si>
  <si>
    <t>VOC Emission Rate</t>
  </si>
  <si>
    <t>VOC concentration in inlet gas</t>
  </si>
  <si>
    <t>mass VOC inlet gas</t>
  </si>
  <si>
    <t>VOC emission rate</t>
  </si>
  <si>
    <t>lb/MMBtu</t>
  </si>
  <si>
    <t>CO Emission Rate</t>
  </si>
  <si>
    <t>CO emission rate</t>
  </si>
  <si>
    <t>No. of</t>
  </si>
  <si>
    <t>(lb/hr)</t>
  </si>
  <si>
    <t>Maximum Single HAP</t>
  </si>
  <si>
    <t>standard pressure = 1 atm</t>
  </si>
  <si>
    <t>Standard Conditions and Constants</t>
  </si>
  <si>
    <t>Flow</t>
  </si>
  <si>
    <t>(lb/MMbtu)*(MMbtu/hr)= lb/hr</t>
  </si>
  <si>
    <t>LFG inlet flow, standard</t>
  </si>
  <si>
    <t>in Inlet Gas</t>
  </si>
  <si>
    <t>79-00-5</t>
  </si>
  <si>
    <t xml:space="preserve">flare and/or engines typically combust 98% of VOCs </t>
  </si>
  <si>
    <t>HAP (Total)</t>
  </si>
  <si>
    <t>HAP</t>
  </si>
  <si>
    <t>scfm</t>
  </si>
  <si>
    <t>LFG Typical Heating Value</t>
  </si>
  <si>
    <t xml:space="preserve">dscfm= scfm*(1-%moisture) </t>
  </si>
  <si>
    <t>(scfm)</t>
  </si>
  <si>
    <t>1,1,2 - Trichloroethane (1,1,2 TCA)</t>
  </si>
  <si>
    <t>Chlorobenzene (monochlorobenzene)</t>
  </si>
  <si>
    <t>Chloroform (trichloromethane)</t>
  </si>
  <si>
    <t>1,4 Dichlorobenzene (p-dichlorobenzene)</t>
  </si>
  <si>
    <t>Ethylene dibromide (1,2 dibromoethane)</t>
  </si>
  <si>
    <t>Tetrachloroethylene (perchloroethylene, -ethene)</t>
  </si>
  <si>
    <t>Toluene (methylbenzene)</t>
  </si>
  <si>
    <t>Vinyl Chloride (chloroethylene, VCM)</t>
  </si>
  <si>
    <t>Xylenes (m, o, p)</t>
  </si>
  <si>
    <t>Hydogen Chloride</t>
  </si>
  <si>
    <t>--</t>
  </si>
  <si>
    <t>Compound Conc &amp; Mass</t>
  </si>
  <si>
    <t xml:space="preserve">     Key to HAP and VOC list:  "x" denotes a HAP only or a HAP and VOC; "y" denotes a VOC only</t>
  </si>
  <si>
    <t>Sample Calculations</t>
  </si>
  <si>
    <t>OR</t>
  </si>
  <si>
    <t>{(scfm)*(60 min/hr)*(HCl outlet concentration per AP-42 [ppmv])*(1-control efficiency)*(MW}/{(R)*(T)} = lb/hr</t>
  </si>
  <si>
    <t>Unit ID No.</t>
  </si>
  <si>
    <t>Annual Operating Hours</t>
  </si>
  <si>
    <t>Hours</t>
  </si>
  <si>
    <r>
      <t>SO</t>
    </r>
    <r>
      <rPr>
        <b/>
        <vertAlign val="subscript"/>
        <sz val="9"/>
        <rFont val="Arial"/>
        <family val="2"/>
      </rPr>
      <t>2</t>
    </r>
  </si>
  <si>
    <r>
      <t>SO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Emission Rate</t>
    </r>
  </si>
  <si>
    <r>
      <t>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concentration in exhaust gas</t>
    </r>
  </si>
  <si>
    <r>
      <t>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 rate</t>
    </r>
  </si>
  <si>
    <r>
      <t>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molecular weight</t>
    </r>
  </si>
  <si>
    <r>
      <t>Individual Compound Contribution to SO</t>
    </r>
    <r>
      <rPr>
        <b/>
        <vertAlign val="subscript"/>
        <sz val="9"/>
        <rFont val="Arial"/>
        <family val="2"/>
      </rPr>
      <t>2</t>
    </r>
  </si>
  <si>
    <r>
      <t>(ppmv)</t>
    </r>
    <r>
      <rPr>
        <b/>
        <vertAlign val="superscript"/>
        <sz val="9"/>
        <rFont val="Arial"/>
        <family val="2"/>
      </rPr>
      <t>a</t>
    </r>
  </si>
  <si>
    <r>
      <t>Total Contribution to 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:</t>
    </r>
  </si>
  <si>
    <r>
      <t>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Emission Rate</t>
    </r>
  </si>
  <si>
    <r>
      <t>PM emission factor</t>
    </r>
    <r>
      <rPr>
        <vertAlign val="superscript"/>
        <sz val="9"/>
        <rFont val="Arial"/>
        <family val="2"/>
      </rPr>
      <t>d</t>
    </r>
  </si>
  <si>
    <r>
      <t>NO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 xml:space="preserve"> Emission Rate</t>
    </r>
  </si>
  <si>
    <r>
      <t>NO</t>
    </r>
    <r>
      <rPr>
        <vertAlign val="subscript"/>
        <sz val="9"/>
        <rFont val="Arial"/>
        <family val="2"/>
      </rPr>
      <t xml:space="preserve">2 </t>
    </r>
    <r>
      <rPr>
        <sz val="9"/>
        <rFont val="Arial"/>
        <family val="2"/>
      </rPr>
      <t>emission factor</t>
    </r>
    <r>
      <rPr>
        <vertAlign val="superscript"/>
        <sz val="9"/>
        <rFont val="Arial"/>
        <family val="2"/>
      </rPr>
      <t>e</t>
    </r>
  </si>
  <si>
    <r>
      <t>NO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 rate</t>
    </r>
  </si>
  <si>
    <r>
      <t>CO</t>
    </r>
    <r>
      <rPr>
        <vertAlign val="subscript"/>
        <sz val="9"/>
        <rFont val="Arial"/>
        <family val="2"/>
      </rPr>
      <t xml:space="preserve"> </t>
    </r>
    <r>
      <rPr>
        <sz val="9"/>
        <rFont val="Arial"/>
        <family val="2"/>
      </rPr>
      <t>emission factor</t>
    </r>
    <r>
      <rPr>
        <vertAlign val="superscript"/>
        <sz val="9"/>
        <rFont val="Arial"/>
        <family val="2"/>
      </rPr>
      <t>e</t>
    </r>
  </si>
  <si>
    <r>
      <t>NMOC conc inlet gas</t>
    </r>
    <r>
      <rPr>
        <vertAlign val="superscript"/>
        <sz val="9"/>
        <rFont val="Arial"/>
        <family val="2"/>
      </rPr>
      <t>f</t>
    </r>
  </si>
  <si>
    <r>
      <t>VOC fraction of NMOC</t>
    </r>
    <r>
      <rPr>
        <vertAlign val="superscript"/>
        <sz val="9"/>
        <rFont val="Arial"/>
        <family val="2"/>
      </rPr>
      <t>f</t>
    </r>
  </si>
  <si>
    <r>
      <t>lb/MM dscf CH</t>
    </r>
    <r>
      <rPr>
        <vertAlign val="subscript"/>
        <sz val="9"/>
        <rFont val="Arial"/>
        <family val="2"/>
      </rPr>
      <t>4</t>
    </r>
  </si>
  <si>
    <r>
      <t>o</t>
    </r>
    <r>
      <rPr>
        <sz val="9"/>
        <rFont val="Arial"/>
        <family val="2"/>
      </rPr>
      <t>F</t>
    </r>
  </si>
  <si>
    <r>
      <t>o</t>
    </r>
    <r>
      <rPr>
        <sz val="9"/>
        <rFont val="Arial"/>
        <family val="2"/>
      </rPr>
      <t>R</t>
    </r>
  </si>
  <si>
    <r>
      <t>Btu/ft</t>
    </r>
    <r>
      <rPr>
        <vertAlign val="superscript"/>
        <sz val="9"/>
        <rFont val="Arial"/>
        <family val="2"/>
      </rPr>
      <t>3</t>
    </r>
  </si>
  <si>
    <r>
      <t>o</t>
    </r>
    <r>
      <rPr>
        <sz val="9"/>
        <rFont val="Arial"/>
        <family val="2"/>
      </rPr>
      <t xml:space="preserve">R =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F + 460</t>
    </r>
  </si>
  <si>
    <r>
      <t xml:space="preserve">standard temperature = 60 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F</t>
    </r>
  </si>
  <si>
    <r>
      <t>Universal gas constant (R) = 0.7302 atm-ft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/lb-mol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R</t>
    </r>
  </si>
  <si>
    <r>
      <t>acfm = scfm*(actual temp[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R])/(standard temp[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R])*{(standard press[atm])/(actual press [atm])}</t>
    </r>
  </si>
  <si>
    <r>
      <t>CO and NO</t>
    </r>
    <r>
      <rPr>
        <b/>
        <vertAlign val="subscript"/>
        <sz val="9"/>
        <rFont val="Arial"/>
        <family val="2"/>
      </rPr>
      <t>x</t>
    </r>
    <r>
      <rPr>
        <b/>
        <sz val="9"/>
        <rFont val="Arial"/>
        <family val="2"/>
      </rPr>
      <t xml:space="preserve"> Emissions</t>
    </r>
  </si>
  <si>
    <r>
      <t>SO</t>
    </r>
    <r>
      <rPr>
        <b/>
        <vertAlign val="subscript"/>
        <sz val="9"/>
        <rFont val="Arial"/>
        <family val="2"/>
      </rPr>
      <t xml:space="preserve">2 </t>
    </r>
    <r>
      <rPr>
        <b/>
        <sz val="9"/>
        <rFont val="Arial"/>
        <family val="2"/>
      </rPr>
      <t>Emissions</t>
    </r>
  </si>
  <si>
    <r>
      <t>typically, 86% to 99.7% of sulfur compounds convert to SO</t>
    </r>
    <r>
      <rPr>
        <vertAlign val="subscript"/>
        <sz val="9"/>
        <rFont val="Arial"/>
        <family val="2"/>
      </rPr>
      <t xml:space="preserve">2 </t>
    </r>
    <r>
      <rPr>
        <sz val="9"/>
        <rFont val="Arial"/>
        <family val="2"/>
      </rPr>
      <t>during combustion</t>
    </r>
  </si>
  <si>
    <r>
      <t>{(scfm)*(60 min/hr)*(total sulfur concentration [ppmv])*(1-control efficiency)*(MW SO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)}/{(R)*(T)} = lb/hr</t>
    </r>
  </si>
  <si>
    <r>
      <t>PM</t>
    </r>
    <r>
      <rPr>
        <b/>
        <vertAlign val="subscript"/>
        <sz val="9"/>
        <rFont val="Arial"/>
        <family val="2"/>
      </rPr>
      <t>10</t>
    </r>
    <r>
      <rPr>
        <b/>
        <sz val="9"/>
        <rFont val="Arial"/>
        <family val="2"/>
      </rPr>
      <t xml:space="preserve"> Emissions</t>
    </r>
  </si>
  <si>
    <r>
      <t>(dscfm)*(CH</t>
    </r>
    <r>
      <rPr>
        <vertAlign val="subscript"/>
        <sz val="9"/>
        <rFont val="Arial"/>
        <family val="2"/>
      </rPr>
      <t>4</t>
    </r>
    <r>
      <rPr>
        <sz val="9"/>
        <rFont val="Arial"/>
        <family val="2"/>
      </rPr>
      <t xml:space="preserve"> component)*(1E-6 MMscf/scf)* (lb PM/MMscf CH</t>
    </r>
    <r>
      <rPr>
        <vertAlign val="subscript"/>
        <sz val="9"/>
        <rFont val="Arial"/>
        <family val="2"/>
      </rPr>
      <t>4)</t>
    </r>
    <r>
      <rPr>
        <sz val="9"/>
        <rFont val="Arial"/>
        <family val="2"/>
      </rPr>
      <t>*(60 min/hr) = lb/hr</t>
    </r>
  </si>
  <si>
    <r>
      <t>{(scfm*60 min/hr*concentration</t>
    </r>
    <r>
      <rPr>
        <vertAlign val="subscript"/>
        <sz val="9"/>
        <rFont val="Arial"/>
        <family val="2"/>
      </rPr>
      <t>compound</t>
    </r>
    <r>
      <rPr>
        <sz val="9"/>
        <rFont val="Arial"/>
        <family val="2"/>
      </rPr>
      <t>[ppmv]*MW</t>
    </r>
    <r>
      <rPr>
        <vertAlign val="subscript"/>
        <sz val="9"/>
        <rFont val="Arial"/>
        <family val="2"/>
      </rPr>
      <t>compound</t>
    </r>
    <r>
      <rPr>
        <sz val="9"/>
        <rFont val="Arial"/>
        <family val="2"/>
      </rPr>
      <t>)/(R)*(T)}*(1-control efficiency) = lb/hr</t>
    </r>
  </si>
  <si>
    <r>
      <t>{(scfm*60 min/hr*concentration</t>
    </r>
    <r>
      <rPr>
        <vertAlign val="subscript"/>
        <sz val="9"/>
        <rFont val="Arial"/>
        <family val="2"/>
      </rPr>
      <t>hexane</t>
    </r>
    <r>
      <rPr>
        <sz val="9"/>
        <rFont val="Arial"/>
        <family val="2"/>
      </rPr>
      <t>[ppmv]*MW</t>
    </r>
    <r>
      <rPr>
        <vertAlign val="subscript"/>
        <sz val="9"/>
        <rFont val="Arial"/>
        <family val="2"/>
      </rPr>
      <t>hexane</t>
    </r>
    <r>
      <rPr>
        <sz val="9"/>
        <rFont val="Arial"/>
        <family val="2"/>
      </rPr>
      <t>)/(R)*(T)}*(0.39) = lb/hr</t>
    </r>
  </si>
  <si>
    <r>
      <t>{(scfm</t>
    </r>
    <r>
      <rPr>
        <sz val="9"/>
        <rFont val="Arial"/>
        <family val="2"/>
      </rPr>
      <t>*60 min/hr*concentration</t>
    </r>
    <r>
      <rPr>
        <vertAlign val="subscript"/>
        <sz val="9"/>
        <rFont val="Arial"/>
        <family val="2"/>
      </rPr>
      <t>compound</t>
    </r>
    <r>
      <rPr>
        <sz val="9"/>
        <rFont val="Arial"/>
        <family val="2"/>
      </rPr>
      <t>[ppmv]*MW</t>
    </r>
    <r>
      <rPr>
        <vertAlign val="subscript"/>
        <sz val="9"/>
        <rFont val="Arial"/>
        <family val="2"/>
      </rPr>
      <t>compound</t>
    </r>
    <r>
      <rPr>
        <sz val="9"/>
        <rFont val="Arial"/>
        <family val="2"/>
      </rPr>
      <t>)/(R)*(T)}*(1-control efficiency)</t>
    </r>
  </si>
  <si>
    <r>
      <t>(concentration</t>
    </r>
    <r>
      <rPr>
        <vertAlign val="subscript"/>
        <sz val="9"/>
        <rFont val="Arial"/>
        <family val="2"/>
      </rPr>
      <t xml:space="preserve">compound </t>
    </r>
    <r>
      <rPr>
        <sz val="9"/>
        <rFont val="Arial"/>
        <family val="2"/>
      </rPr>
      <t>[ppm])*(control efficiency)*(no. of chlorine atoms) = HCl concentration [ppm] in outlet gas from each compound</t>
    </r>
  </si>
  <si>
    <r>
      <t>{HCl conconcentration</t>
    </r>
    <r>
      <rPr>
        <vertAlign val="subscript"/>
        <sz val="9"/>
        <rFont val="Arial"/>
        <family val="2"/>
      </rPr>
      <t xml:space="preserve">each compound </t>
    </r>
    <r>
      <rPr>
        <sz val="9"/>
        <rFont val="Arial"/>
        <family val="2"/>
      </rPr>
      <t>[ppm]*scfm</t>
    </r>
    <r>
      <rPr>
        <sz val="9"/>
        <rFont val="Arial"/>
        <family val="2"/>
      </rPr>
      <t>*MW</t>
    </r>
    <r>
      <rPr>
        <vertAlign val="subscript"/>
        <sz val="9"/>
        <rFont val="Arial"/>
        <family val="2"/>
      </rPr>
      <t>HCl</t>
    </r>
    <r>
      <rPr>
        <sz val="9"/>
        <rFont val="Arial"/>
        <family val="2"/>
      </rPr>
      <t xml:space="preserve">}/{(R)*(T)}*(60 min/hr) = lb/hr </t>
    </r>
  </si>
  <si>
    <r>
      <t>(ppmv)</t>
    </r>
    <r>
      <rPr>
        <vertAlign val="superscript"/>
        <sz val="9"/>
        <rFont val="Arial"/>
        <family val="2"/>
      </rPr>
      <t>a</t>
    </r>
  </si>
  <si>
    <r>
      <t>Ethylbenzene</t>
    </r>
    <r>
      <rPr>
        <vertAlign val="superscript"/>
        <sz val="9"/>
        <rFont val="Arial"/>
        <family val="2"/>
      </rPr>
      <t>g</t>
    </r>
  </si>
  <si>
    <r>
      <t>Total HAP</t>
    </r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</t>
    </r>
  </si>
  <si>
    <r>
      <t xml:space="preserve">     Note:  References to AP-42  are taken from, US Environmental Protection Agency, </t>
    </r>
    <r>
      <rPr>
        <b/>
        <i/>
        <sz val="8"/>
        <rFont val="Arial"/>
        <family val="2"/>
      </rPr>
      <t>Compilation of Air Pollutant Emission Factors, Volume I. Stationary Point</t>
    </r>
  </si>
  <si>
    <r>
      <t>and</t>
    </r>
    <r>
      <rPr>
        <b/>
        <vertAlign val="superscript"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Area Sources, 5th Ed.</t>
    </r>
    <r>
      <rPr>
        <b/>
        <sz val="8"/>
        <rFont val="Arial"/>
        <family val="2"/>
      </rPr>
      <t xml:space="preserve"> (unless otherwise noted)</t>
    </r>
  </si>
  <si>
    <r>
      <t xml:space="preserve">     a </t>
    </r>
    <r>
      <rPr>
        <b/>
        <sz val="8"/>
        <rFont val="Arial"/>
        <family val="2"/>
      </rPr>
      <t xml:space="preserve">Source:  AP-42, Tables 2.4-1 and 2.4-2, November 1998. </t>
    </r>
  </si>
  <si>
    <r>
      <t xml:space="preserve">     b </t>
    </r>
    <r>
      <rPr>
        <b/>
        <sz val="8"/>
        <rFont val="Arial"/>
        <family val="2"/>
      </rPr>
      <t xml:space="preserve">Source:  AP-42, Tables 2.4-3, November 1998. </t>
    </r>
  </si>
  <si>
    <r>
      <t xml:space="preserve">  </t>
    </r>
    <r>
      <rPr>
        <b/>
        <vertAlign val="superscript"/>
        <sz val="8"/>
        <rFont val="Arial"/>
        <family val="2"/>
      </rPr>
      <t xml:space="preserve"> c </t>
    </r>
    <r>
      <rPr>
        <b/>
        <sz val="8"/>
        <rFont val="Arial"/>
        <family val="2"/>
      </rPr>
      <t xml:space="preserve">AP-42 gives ranges for control efficiencies.  Control efficiencies for halogenated species range from 91 to 99.7 percent and control   </t>
    </r>
  </si>
  <si>
    <r>
      <t xml:space="preserve">     d </t>
    </r>
    <r>
      <rPr>
        <b/>
        <sz val="8"/>
        <rFont val="Arial"/>
        <family val="2"/>
      </rPr>
      <t>Product of combustion</t>
    </r>
  </si>
  <si>
    <r>
      <t xml:space="preserve">     e </t>
    </r>
    <r>
      <rPr>
        <b/>
        <sz val="8"/>
        <rFont val="Arial"/>
        <family val="2"/>
      </rPr>
      <t xml:space="preserve">Default outlet concentration; Source: US EPA. AP-42, Section 2.4.4, November 1998. </t>
    </r>
  </si>
  <si>
    <r>
      <t xml:space="preserve">     a</t>
    </r>
    <r>
      <rPr>
        <b/>
        <sz val="8"/>
        <rFont val="Arial"/>
        <family val="2"/>
      </rPr>
      <t>Source:  US EPA. AP-42, Tables 2.4-1 and 2.4-3, November 1998.</t>
    </r>
  </si>
  <si>
    <r>
      <t xml:space="preserve">     b</t>
    </r>
    <r>
      <rPr>
        <b/>
        <sz val="8"/>
        <rFont val="Arial"/>
        <family val="2"/>
      </rPr>
      <t>Source:  US EPA. AP-42, Table 2.4-3, November 1998.</t>
    </r>
  </si>
  <si>
    <r>
      <t xml:space="preserve">     c</t>
    </r>
    <r>
      <rPr>
        <b/>
        <sz val="8"/>
        <rFont val="Arial"/>
        <family val="2"/>
      </rPr>
      <t xml:space="preserve">AP-42 gives ranges for control efficiencies.  Control efficiencies for halogenated species range from 91 to 99.7 percent.  The upper end of the </t>
    </r>
  </si>
  <si>
    <r>
      <t>range is used here resulting in maximum calculated emissions of SO</t>
    </r>
    <r>
      <rPr>
        <b/>
        <vertAlign val="subscript"/>
        <sz val="8"/>
        <rFont val="Arial"/>
        <family val="2"/>
      </rPr>
      <t>2.</t>
    </r>
  </si>
  <si>
    <r>
      <t xml:space="preserve">     d</t>
    </r>
    <r>
      <rPr>
        <b/>
        <sz val="8"/>
        <rFont val="Arial"/>
        <family val="2"/>
      </rPr>
      <t>Source:  US EPA.  AP-42, Table 2.4-5, November 1998.</t>
    </r>
  </si>
  <si>
    <r>
      <t xml:space="preserve">     f</t>
    </r>
    <r>
      <rPr>
        <b/>
        <sz val="8"/>
        <rFont val="Arial"/>
        <family val="2"/>
      </rPr>
      <t>Source: US EPA. AP-42, Table 2.4-2, November 1998.</t>
    </r>
  </si>
  <si>
    <t xml:space="preserve">Company Name:  </t>
  </si>
  <si>
    <t xml:space="preserve">Address City IN Zip:  </t>
  </si>
  <si>
    <t xml:space="preserve">Date:  </t>
  </si>
  <si>
    <t>(controlled)</t>
  </si>
  <si>
    <t>(Uncontrolled)</t>
  </si>
  <si>
    <t>(Controlled)</t>
  </si>
  <si>
    <t>(ton/yr)</t>
  </si>
  <si>
    <t>TSP</t>
  </si>
  <si>
    <t>HAP Emissions from Ground Flare</t>
  </si>
  <si>
    <t>Acrylonitrile (PrGroundenitrile)</t>
  </si>
  <si>
    <t>Total emissions from Ground Flare</t>
  </si>
  <si>
    <t>One Ground Flare</t>
  </si>
  <si>
    <r>
      <t>LFG Methane Component</t>
    </r>
    <r>
      <rPr>
        <vertAlign val="superscript"/>
        <sz val="9"/>
        <rFont val="Arial"/>
        <family val="2"/>
      </rPr>
      <t>h</t>
    </r>
  </si>
  <si>
    <r>
      <t xml:space="preserve">     g</t>
    </r>
    <r>
      <rPr>
        <b/>
        <sz val="8"/>
        <rFont val="Arial"/>
        <family val="2"/>
      </rPr>
      <t>Industrial STP (60</t>
    </r>
    <r>
      <rPr>
        <b/>
        <vertAlign val="superscript"/>
        <sz val="8"/>
        <rFont val="Arial"/>
        <family val="2"/>
      </rPr>
      <t>o</t>
    </r>
    <r>
      <rPr>
        <b/>
        <sz val="8"/>
        <rFont val="Arial"/>
        <family val="2"/>
      </rPr>
      <t>F, 30.00 in. Hg, 1 atm)</t>
    </r>
  </si>
  <si>
    <r>
      <t>Standard Temperature</t>
    </r>
    <r>
      <rPr>
        <vertAlign val="superscript"/>
        <sz val="9"/>
        <rFont val="Arial"/>
        <family val="2"/>
      </rPr>
      <t>g</t>
    </r>
  </si>
  <si>
    <r>
      <t>Methane Heating Value</t>
    </r>
    <r>
      <rPr>
        <vertAlign val="superscript"/>
        <sz val="9"/>
        <rFont val="Arial"/>
        <family val="2"/>
      </rPr>
      <t>h</t>
    </r>
  </si>
  <si>
    <r>
      <t xml:space="preserve">     h</t>
    </r>
    <r>
      <rPr>
        <b/>
        <sz val="8"/>
        <rFont val="Arial"/>
        <family val="2"/>
      </rPr>
      <t>Typical</t>
    </r>
  </si>
  <si>
    <t xml:space="preserve"> Potential Emissions Summary - Ground Flare</t>
  </si>
  <si>
    <t>BFI-Imperial Landfill</t>
  </si>
  <si>
    <t>11 Boggs Road, Findlay Twp, PA 15126-0047</t>
  </si>
  <si>
    <t>Ground Flare Sample Calculations</t>
  </si>
  <si>
    <t xml:space="preserve"> Fugitive HAP Emissions from Landfill</t>
  </si>
  <si>
    <t xml:space="preserve">Potential LFG fugitive flow </t>
  </si>
  <si>
    <t>Control Eff.</t>
  </si>
  <si>
    <t>Landfill Emissions</t>
  </si>
  <si>
    <t>MW '(lb/lb-mol)</t>
  </si>
  <si>
    <t>TPY</t>
  </si>
  <si>
    <t>2-Propanol (isopropyl alcohol)</t>
  </si>
  <si>
    <t>67-63-0</t>
  </si>
  <si>
    <t>Acetone</t>
  </si>
  <si>
    <t>67-64-1</t>
  </si>
  <si>
    <t>Acrylonitrile</t>
  </si>
  <si>
    <t>Bromodichloromethane</t>
  </si>
  <si>
    <t>75-27-4</t>
  </si>
  <si>
    <t>Butane</t>
  </si>
  <si>
    <t>106-97-8</t>
  </si>
  <si>
    <t>Chlorobenzene</t>
  </si>
  <si>
    <t>Chlorodifluoromethane</t>
  </si>
  <si>
    <t>124-48-1</t>
  </si>
  <si>
    <t>Chloroform</t>
  </si>
  <si>
    <t>1,4 Dichlorobenzene</t>
  </si>
  <si>
    <t>Dichlorodifluoromethane</t>
  </si>
  <si>
    <t>75-71-8</t>
  </si>
  <si>
    <t>Dichlorofluoromethane</t>
  </si>
  <si>
    <t>75-43-4</t>
  </si>
  <si>
    <t>Ethane</t>
  </si>
  <si>
    <t>74-84-0</t>
  </si>
  <si>
    <t>Ethanol</t>
  </si>
  <si>
    <t>64-17-5</t>
  </si>
  <si>
    <t>Ethylbenzene</t>
  </si>
  <si>
    <t>Ethylene dibromide (dibromoethane)</t>
  </si>
  <si>
    <t>Fluorotrichloromethane</t>
  </si>
  <si>
    <t>75-69-4</t>
  </si>
  <si>
    <t>Pentane</t>
  </si>
  <si>
    <t>109-66-0</t>
  </si>
  <si>
    <t>Tetrachloroethylene (perchloroethylene)</t>
  </si>
  <si>
    <t>Propane</t>
  </si>
  <si>
    <t>74-98-6</t>
  </si>
  <si>
    <t>t - 1,2 - Dichloroethene (1,2 dichloroethylene)</t>
  </si>
  <si>
    <t>156-60-5</t>
  </si>
  <si>
    <t>Toluene</t>
  </si>
  <si>
    <t>Vinyl Chloride</t>
  </si>
  <si>
    <t>Xylenes</t>
  </si>
  <si>
    <t>Maximum Single HAP, toluene</t>
  </si>
  <si>
    <r>
      <t>a</t>
    </r>
    <r>
      <rPr>
        <b/>
        <sz val="8"/>
        <rFont val="Arial"/>
        <family val="2"/>
      </rPr>
      <t xml:space="preserve"> Source:  AP-42 (11/98), tables 2.4-1 and 2.4-2  </t>
    </r>
  </si>
  <si>
    <r>
      <t>b</t>
    </r>
    <r>
      <rPr>
        <b/>
        <sz val="8"/>
        <rFont val="Arial"/>
        <family val="2"/>
      </rPr>
      <t xml:space="preserve"> source:  AP-42 (9/97), table 2.4-3  </t>
    </r>
  </si>
  <si>
    <t>One (1) Ground Flare</t>
  </si>
  <si>
    <t>Emission Calculations</t>
  </si>
  <si>
    <t>=</t>
  </si>
  <si>
    <t>lb PM/VMT (empty)</t>
  </si>
  <si>
    <t>lb PM/VMT (full)</t>
  </si>
  <si>
    <t>lb PM10/VMT (empty)</t>
  </si>
  <si>
    <t>lb PM10/VMT (full)</t>
  </si>
  <si>
    <t xml:space="preserve"> where k =</t>
  </si>
  <si>
    <t>W =</t>
  </si>
  <si>
    <t>P=</t>
  </si>
  <si>
    <t>number of days in a year with at least 0.254 mm (0.01 in) of precipitation (Figure 13.2.2-1, Pittsburgh about 150 days).</t>
  </si>
  <si>
    <t>VMT/yr</t>
  </si>
  <si>
    <t>E(PM) =</t>
  </si>
  <si>
    <t>E(PM10) =</t>
  </si>
  <si>
    <t xml:space="preserve"> *  (1 -</t>
  </si>
  <si>
    <t>) =</t>
  </si>
  <si>
    <t>tons/yr</t>
  </si>
  <si>
    <t>Vehicle Travel on Unpaved Roads:</t>
  </si>
  <si>
    <t>Ef =</t>
  </si>
  <si>
    <t>k*(s/12)^a*(W/3)^b*(365-P)/365</t>
  </si>
  <si>
    <t>s =</t>
  </si>
  <si>
    <t>mean silt content (%) of unpaved roads, Table 13.2.2-1 for MSWL</t>
  </si>
  <si>
    <t xml:space="preserve"> a =</t>
  </si>
  <si>
    <t>Constant for PM-30</t>
  </si>
  <si>
    <t>Constant for PM-10</t>
  </si>
  <si>
    <t>b =</t>
  </si>
  <si>
    <t>Constant for PM-10 and PM-30</t>
  </si>
  <si>
    <t>tons/yr (empty) +</t>
  </si>
  <si>
    <t>tons/yr (full) =</t>
  </si>
  <si>
    <t>Water and/or chemical dust suppressants are used on unpaved roads to reduce fugitive dust from vehicle travel.  AP-42, Section 13.2.2 provides a method</t>
  </si>
  <si>
    <t>of estimating the control efficiency of this type of dust suppressent as a function of application rate, frequency, time of year (season).  It is assumed herein</t>
  </si>
  <si>
    <t>Methodology</t>
  </si>
  <si>
    <t>lbs/yr</t>
  </si>
  <si>
    <r>
      <t xml:space="preserve">Water Vapor losses </t>
    </r>
    <r>
      <rPr>
        <vertAlign val="superscript"/>
        <sz val="10"/>
        <rFont val="Arial"/>
        <family val="2"/>
      </rPr>
      <t>a</t>
    </r>
  </si>
  <si>
    <t>Total VOC emissions</t>
  </si>
  <si>
    <t>Total VOC emissions from six tanks</t>
  </si>
  <si>
    <r>
      <t xml:space="preserve">VOC emissions from one (1) large 1,000,000 gal. tank </t>
    </r>
    <r>
      <rPr>
        <vertAlign val="superscript"/>
        <sz val="10"/>
        <rFont val="Arial"/>
        <family val="2"/>
      </rPr>
      <t>b</t>
    </r>
  </si>
  <si>
    <t>Two (2) 1,000,000 gallon raw leachate tanks, two (2) 2,500 gallon leachate tanks at Neville Location</t>
  </si>
  <si>
    <t xml:space="preserve">Six (6) Leachate Storage Tanks </t>
  </si>
  <si>
    <t>One (1) unleaded fuel tank with a capacity of 10,000 gallons per year</t>
  </si>
  <si>
    <r>
      <t xml:space="preserve">VOC emissions from unleaded tank </t>
    </r>
    <r>
      <rPr>
        <vertAlign val="superscript"/>
        <sz val="10"/>
        <rFont val="Arial"/>
        <family val="2"/>
      </rPr>
      <t>a</t>
    </r>
  </si>
  <si>
    <t>Two (2) fuel  tanks and variety of fuel storage tanks with less than (&lt;)300 gallons of capacity</t>
  </si>
  <si>
    <t>Data</t>
  </si>
  <si>
    <t>Heated Pressure Washer</t>
  </si>
  <si>
    <t>Soap Solution</t>
  </si>
  <si>
    <t>Soap density</t>
  </si>
  <si>
    <t>VOC emissions</t>
  </si>
  <si>
    <t>lb/yr</t>
  </si>
  <si>
    <t xml:space="preserve"> Potential particulate emissions = Soap solution * Soap density</t>
  </si>
  <si>
    <t xml:space="preserve">Roads and Vehicles </t>
  </si>
  <si>
    <t xml:space="preserve">ACHD Part 70 Permit:  </t>
  </si>
  <si>
    <t>One (1) 2,500 gallon leachate tank at Alcosan location and One (1) 5,000 gallon leachate at Cell 4 location</t>
  </si>
  <si>
    <r>
      <t xml:space="preserve">a </t>
    </r>
    <r>
      <rPr>
        <b/>
        <sz val="8"/>
        <rFont val="Arial"/>
        <family val="2"/>
      </rPr>
      <t xml:space="preserve">Source: These emissions are calculated using U.S. EPA Tanks 4.0 model </t>
    </r>
  </si>
  <si>
    <t>Total</t>
  </si>
  <si>
    <t>TVOP-0068</t>
  </si>
  <si>
    <t>TABLE: EMISSIONS SUMMARY - MUNICIPAL SOLID WASTE LANDFILL</t>
  </si>
  <si>
    <t>Emission Unit</t>
  </si>
  <si>
    <t>Capacity</t>
  </si>
  <si>
    <r>
      <t>PM</t>
    </r>
    <r>
      <rPr>
        <b/>
        <vertAlign val="subscript"/>
        <sz val="10"/>
        <rFont val="Arial"/>
        <family val="2"/>
      </rPr>
      <t>10</t>
    </r>
  </si>
  <si>
    <r>
      <t>SO</t>
    </r>
    <r>
      <rPr>
        <b/>
        <vertAlign val="subscript"/>
        <sz val="10"/>
        <rFont val="Arial"/>
        <family val="2"/>
      </rPr>
      <t>2</t>
    </r>
  </si>
  <si>
    <r>
      <t>NO</t>
    </r>
    <r>
      <rPr>
        <b/>
        <vertAlign val="subscript"/>
        <sz val="10"/>
        <rFont val="Arial"/>
        <family val="2"/>
      </rPr>
      <t>x</t>
    </r>
  </si>
  <si>
    <t xml:space="preserve">   HAP (total)</t>
  </si>
  <si>
    <t>Unit</t>
  </si>
  <si>
    <t>(TPY)</t>
  </si>
  <si>
    <t>Enclosed Ground flare</t>
  </si>
  <si>
    <t>Roads and Vehicles</t>
  </si>
  <si>
    <r>
      <t>MSW Landfill</t>
    </r>
    <r>
      <rPr>
        <vertAlign val="superscript"/>
        <sz val="10"/>
        <rFont val="Arial"/>
        <family val="2"/>
      </rPr>
      <t>a</t>
    </r>
  </si>
  <si>
    <r>
      <t xml:space="preserve">a </t>
    </r>
    <r>
      <rPr>
        <b/>
        <sz val="8"/>
        <rFont val="Arial"/>
        <family val="2"/>
      </rPr>
      <t>Fugitive landfill gas flow; assuming 75% collection efficiency</t>
    </r>
  </si>
  <si>
    <r>
      <t>b</t>
    </r>
    <r>
      <rPr>
        <b/>
        <sz val="8"/>
        <rFont val="Arial"/>
        <family val="2"/>
      </rPr>
      <t xml:space="preserve"> VOC, and HAP emissions are derived using mass balance and/or AP42 compound concentrations in LFG </t>
    </r>
  </si>
  <si>
    <t>Six (6) leachate tanks</t>
  </si>
  <si>
    <t>Two (2) fuel tanks</t>
  </si>
  <si>
    <t>PM</t>
  </si>
  <si>
    <t>803 Acres</t>
  </si>
  <si>
    <r>
      <t>c</t>
    </r>
    <r>
      <rPr>
        <b/>
        <sz val="8"/>
        <rFont val="Arial"/>
        <family val="2"/>
      </rPr>
      <t xml:space="preserve"> AP-42 gives ranges for control efficiencies. Control efficiencies for halogenated species range from 91 to 99 percent.  </t>
    </r>
  </si>
  <si>
    <r>
      <t>MMFt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/ Yr</t>
    </r>
  </si>
  <si>
    <t>Criteria Pollutant Emissions from Ground Flare</t>
  </si>
  <si>
    <t>(permit requirement)</t>
  </si>
  <si>
    <t>efficiencies for non-halogenated species range from 38 to 91 percent.  This notwithstanding, the permit requires at least 98% destruction of VOC.</t>
  </si>
  <si>
    <t>(uncontrolled)</t>
  </si>
  <si>
    <t>Potential Emissions (Controlled)</t>
  </si>
  <si>
    <t>Total potential vehicle miles traveled on unpaved plant roads:</t>
  </si>
  <si>
    <t>gallon/yr (per TVOP application)</t>
  </si>
  <si>
    <t>lb/gallon ( per TVOP application)</t>
  </si>
  <si>
    <t>HAP (Single)*</t>
  </si>
  <si>
    <t>Control efficiencies for non-halogenated species range from 38 to 99 percent.  There are no controls applied to these fugitive emissions.</t>
  </si>
  <si>
    <r>
      <t xml:space="preserve">a </t>
    </r>
    <r>
      <rPr>
        <b/>
        <sz val="8"/>
        <rFont val="Arial"/>
        <family val="2"/>
      </rPr>
      <t>Source: These emissions are calculated using U.S. EPA Tanks 4.0 model for one (1) 1,000,000 gallon leachate tank</t>
    </r>
  </si>
  <si>
    <r>
      <t xml:space="preserve">b </t>
    </r>
    <r>
      <rPr>
        <b/>
        <sz val="8"/>
        <rFont val="Arial"/>
        <family val="2"/>
      </rPr>
      <t>Source: Approximately 1 % of water vapor from leachate tanks emissions is assumed as VOC, as provided by applicant in TVOP application</t>
    </r>
  </si>
  <si>
    <t xml:space="preserve">VOC content of the soap solution is conservatively assumed to be 100 % </t>
  </si>
  <si>
    <t>Potential Emissions</t>
  </si>
  <si>
    <r>
      <t>c</t>
    </r>
    <r>
      <rPr>
        <b/>
        <sz val="8"/>
        <rFont val="Arial"/>
        <family val="2"/>
      </rPr>
      <t xml:space="preserve"> Single HAP emissions for MSW Landfill are toluene; and HCl for flares.  The worst case single HAP (HCl) is reflected in the single HAP total.</t>
    </r>
  </si>
  <si>
    <r>
      <t>HAP (single)</t>
    </r>
    <r>
      <rPr>
        <b/>
        <vertAlign val="superscript"/>
        <sz val="10"/>
        <rFont val="Arial"/>
        <family val="2"/>
      </rPr>
      <t>c</t>
    </r>
  </si>
  <si>
    <t>Pollutant</t>
  </si>
  <si>
    <t>PM*</t>
  </si>
  <si>
    <t>PM10*</t>
  </si>
  <si>
    <t>SO2</t>
  </si>
  <si>
    <t>NOx</t>
  </si>
  <si>
    <t>*PM emission factor is filterable PM only.  PM10 emission factor is filterable and condensable PM10 combined.</t>
  </si>
  <si>
    <t>All emission factors are based on normal firing.</t>
  </si>
  <si>
    <t>Misc.Combustion Units</t>
  </si>
  <si>
    <t xml:space="preserve">Misc. Comb. Equipment category </t>
  </si>
  <si>
    <t>Misc. Combustion Units</t>
  </si>
  <si>
    <t>286.6 HP (Diesel); 76.5 HP (Gasoline)</t>
  </si>
  <si>
    <t>Total Potential Emission in tons/yr</t>
  </si>
  <si>
    <t>Light Plants***</t>
  </si>
  <si>
    <t>Potential Emission (tons/yr) for Diesel, except light plant, **</t>
  </si>
  <si>
    <t>Potential Emission (tons/yr) from Light plant, ***</t>
  </si>
  <si>
    <t>Generator**</t>
  </si>
  <si>
    <t>Pumps**</t>
  </si>
  <si>
    <t>Air Compressors**</t>
  </si>
  <si>
    <t>Heated Pressure washer**</t>
  </si>
  <si>
    <t>Emission Factor in lb/hp-hr for Diesel</t>
  </si>
  <si>
    <t>Emission Factor in lb/hp-hr for Gasoline</t>
  </si>
  <si>
    <t>Total rated Capacities of Misc. Comb. Eqipment (hp) except Light plants</t>
  </si>
  <si>
    <t>Diesel Fuel (hp)</t>
  </si>
  <si>
    <t>Gasoline Fuel (hp)</t>
  </si>
  <si>
    <t>Emission (tons/yr) for light plants = Heat Input Capacity (hp) x Emission Factor (lb/hp-hr) x 8760(hrs /year) x 1/2000 (ton /lb)</t>
  </si>
  <si>
    <t>The 16 hp, gasoline fired, heated pressure washer uses 25 gallons of soap solution per year.</t>
  </si>
  <si>
    <t>Description **</t>
  </si>
  <si>
    <t>** The emission from the 16-hp pressure washer itself are included in the misc. combustion section.</t>
  </si>
  <si>
    <t>Potential Emission (tons/yr) for Gasoline, except light plant, **</t>
  </si>
  <si>
    <t>Emission (tons/yr) for all equipments except light plants = Heat Input Capacity (hp) x Emission Factor (lb/hp-hr) x 1000 (hrs /year) x 1/2000 (ton /lb)</t>
  </si>
  <si>
    <t>** All the combustion equipment, except light plants, have an operating restriction of 1000 hours per year.</t>
  </si>
  <si>
    <t>*** Light plants have no restrictions and the emissions calculations of light plants are based on 8760 hours per year</t>
  </si>
  <si>
    <t>One (1) diesel fuel tank with a maximum throughput capacity of 200,000 gallons per year</t>
  </si>
  <si>
    <r>
      <t xml:space="preserve">VOC emissions from diesel tank </t>
    </r>
    <r>
      <rPr>
        <vertAlign val="superscript"/>
        <sz val="10"/>
        <rFont val="Arial"/>
        <family val="2"/>
      </rPr>
      <t>a</t>
    </r>
  </si>
  <si>
    <t>miles of paved plant roads per applicant</t>
  </si>
  <si>
    <t>Vehicle Travel on Paved Roads:</t>
  </si>
  <si>
    <t>E =</t>
  </si>
  <si>
    <t>particle size multiplier for &lt;30um, Table 13.2.1-1 (lb/VMT)</t>
  </si>
  <si>
    <t>particle size multiplier for &lt;10um, Table 13.2.1-1 (lb/VMT)</t>
  </si>
  <si>
    <t>sL =</t>
  </si>
  <si>
    <t>Total potential vehicle miles traveled on paved plant roads at:</t>
  </si>
  <si>
    <t>tons/yr empty +</t>
  </si>
  <si>
    <t>tons/yr full =</t>
  </si>
  <si>
    <t>tons/yr total</t>
  </si>
  <si>
    <t>efficiency.  Controlled PTE of PM/P10 is:</t>
  </si>
  <si>
    <t>N=</t>
  </si>
  <si>
    <t>Averaging period (365 for annual, from AP-42)</t>
  </si>
  <si>
    <t>lbs/hr</t>
  </si>
  <si>
    <r>
      <t xml:space="preserve">     e</t>
    </r>
    <r>
      <rPr>
        <b/>
        <sz val="8"/>
        <rFont val="Arial"/>
        <family val="2"/>
      </rPr>
      <t>Source:  emission factors based on manufacturer gurantee</t>
    </r>
  </si>
  <si>
    <t>Description of Unit</t>
  </si>
  <si>
    <t>Unit Make/Model</t>
  </si>
  <si>
    <t xml:space="preserve"> Generator Size (kW)</t>
  </si>
  <si>
    <t>Hours of Operation (Hours/yr)</t>
  </si>
  <si>
    <t>HP Rating</t>
  </si>
  <si>
    <t>SOx</t>
  </si>
  <si>
    <t>PM / PM-10/ PM2.5</t>
  </si>
  <si>
    <t>tpy</t>
  </si>
  <si>
    <t>tons/ozone season</t>
  </si>
  <si>
    <t>lbs/day</t>
  </si>
  <si>
    <t>New Generator</t>
  </si>
  <si>
    <t>Detroit Deisel/400RE0ZDD</t>
  </si>
  <si>
    <t>-</t>
  </si>
  <si>
    <t>Plan Approval Exemption Thresholds</t>
  </si>
  <si>
    <t>Actual Emissions Calculations</t>
  </si>
  <si>
    <t>lbs/hr = (hp rating)*(capacity)*emission factor (lb/hp hr)*(hrs of operation)</t>
  </si>
  <si>
    <t>tpy = (lb/yr) *(ton/2000 lbs)</t>
  </si>
  <si>
    <t xml:space="preserve">EPA AP-42 Emission Factors - Diesel </t>
  </si>
  <si>
    <t>NOX Factor (lb/hp hr)</t>
  </si>
  <si>
    <t>CO Factor (lb/hp hr)</t>
  </si>
  <si>
    <t>SOX Factor (lb/hp hr)</t>
  </si>
  <si>
    <t>PM-10 Factor (lb/hp hr)</t>
  </si>
  <si>
    <t>VOC
Factor
(lb/hp hr)</t>
  </si>
  <si>
    <t>Large Diesel Engines (&gt; 600 hp)</t>
  </si>
  <si>
    <t xml:space="preserve">EPA Tier-3 Max Limits (40 CFR 89)- For NOx + HC and PM. Tier 1 for CO </t>
  </si>
  <si>
    <t>NOX + HC Factor (gr/kW hr)</t>
  </si>
  <si>
    <t>CO Factor (gr/kW hr)</t>
  </si>
  <si>
    <t>PM Factor (gr/kW hr)</t>
  </si>
  <si>
    <t>HC (VOC</t>
  </si>
  <si>
    <t>NOX + HC Factor (lb/Hp hr)</t>
  </si>
  <si>
    <t>CO Factor (lb/Hp hr)</t>
  </si>
  <si>
    <t>PM Factor (lb/Hp hr)</t>
  </si>
  <si>
    <t>NOTE:</t>
  </si>
  <si>
    <t>Use Nox Split 95.506% Nox and 4.494% HC. Based on Manufactuere Emission Data</t>
  </si>
  <si>
    <t xml:space="preserve">1. NOx and PM emission calculations are based on EPA's Tier-3 Max Limits- for Blue Sky Series Engine (which is considered low emitting engines), as derived from 40 CFR 89; the NOx + HC factor is assumed, worst-case, to be 100% NOx </t>
  </si>
  <si>
    <t>2. CO emission calculations is based on EPA's Tier-1 Max Limits, as derived from 40 CFR 89</t>
  </si>
  <si>
    <t>3.  SOx and VOC emissions calculations are based on AP-42 emission factors.</t>
  </si>
  <si>
    <t>4. The ozone is considered the 4 summer month (May-August)</t>
  </si>
  <si>
    <t>Imperial Landfill</t>
  </si>
  <si>
    <t>Diesel Emergency Generator for the Leachate Pre-Treatment System</t>
  </si>
  <si>
    <t>Emergency Generator For Flare Station</t>
  </si>
  <si>
    <t>Emergency Generator</t>
  </si>
  <si>
    <t>635 hp (Flare Station)</t>
  </si>
  <si>
    <t>896 hp (Leachate Pre-treatment system)</t>
  </si>
  <si>
    <t>lb/ton</t>
  </si>
  <si>
    <t>mph</t>
  </si>
  <si>
    <t>%</t>
  </si>
  <si>
    <t>Silt content of aggregate (percent)</t>
  </si>
  <si>
    <t>Number of days with &gt; or = 0.01 inches of precipitation per year</t>
  </si>
  <si>
    <t>Percent of the time that the unobstructed wind speed exceeds 12 mph at the mean pile height</t>
  </si>
  <si>
    <t>days</t>
  </si>
  <si>
    <t>lb/acre-day</t>
  </si>
  <si>
    <t>Control efficiency based on moisture in material</t>
  </si>
  <si>
    <t>Controlled emissions</t>
  </si>
  <si>
    <t>[Assumed PM10 split]</t>
  </si>
  <si>
    <t>Wind erosion factor (lb/acre-day) - PM</t>
  </si>
  <si>
    <t>Acres of storage piles</t>
  </si>
  <si>
    <t>acres</t>
  </si>
  <si>
    <t>Fugitive Emissions Due to LF Contsruction</t>
  </si>
  <si>
    <t xml:space="preserve">70% control efficiency was applied to the fugitive emissions based on routine water suppression of the dust. </t>
  </si>
  <si>
    <t>F001</t>
  </si>
  <si>
    <t>B004</t>
  </si>
  <si>
    <t>B005</t>
  </si>
  <si>
    <t>P001</t>
  </si>
  <si>
    <t>F002</t>
  </si>
  <si>
    <t>B002</t>
  </si>
  <si>
    <t>B003</t>
  </si>
  <si>
    <t>Boiler (Leachate Pre-Treatment)</t>
  </si>
  <si>
    <t>5 MMBtu/hr</t>
  </si>
  <si>
    <t>Area 1-6</t>
  </si>
  <si>
    <t>Waste Acceptance</t>
  </si>
  <si>
    <t>LFG Generation</t>
  </si>
  <si>
    <t>LFG Collection</t>
  </si>
  <si>
    <t>tons</t>
  </si>
  <si>
    <t>The following estimates PM/PM10 emission due to heavy duty vehicle travel on paved plant roads, based on AP-42 Section 13.2.1 (1/2011):</t>
  </si>
  <si>
    <t>The following estimates PM/PM10 emission due to heavy vehicle travel on unpaved plant roads, based on AP-42 Section 13.2.2 (1/2006):</t>
  </si>
  <si>
    <t>[k * (sL)^0.91 * (W)^1.02 ] * (1-P/4N)</t>
  </si>
  <si>
    <t>road surface silt loading (g/m^2), Table 13.2.1-3 for MSWL</t>
  </si>
  <si>
    <t>particle size multiplier for &lt;30um, Table 13.2.2-2 (lb/VMT)</t>
  </si>
  <si>
    <t>particle size multiplier for &lt;10um, Table 13.2.2-2 (lb/VMT)</t>
  </si>
  <si>
    <t>Emission Factors are from AP 42, Chapter 3.3 (issued 10/96 update 3/24/2009), Table 3.3-1 SCC #2-02-003-01, 2-03-003-01, 2-02-001-02, and 2-03-001-01</t>
  </si>
  <si>
    <t>miles of unpaved plant roads</t>
  </si>
  <si>
    <t>holes</t>
  </si>
  <si>
    <t>Soil Loading/Unloading</t>
  </si>
  <si>
    <t>Required:</t>
  </si>
  <si>
    <t>equipment at the landfill.</t>
  </si>
  <si>
    <t>References:</t>
  </si>
  <si>
    <t>Coal Mining."</t>
  </si>
  <si>
    <t>Handling and Storage Piles."</t>
  </si>
  <si>
    <t>Assumptions:</t>
  </si>
  <si>
    <t>The generation of particulate emissions at the site can best be represented by the following methods:</t>
  </si>
  <si>
    <t xml:space="preserve">The bulldozing and compaction activities are best represented by the "bulldozing of overburden" as shown </t>
  </si>
  <si>
    <t>on Table 11.9-1 of AP-42 (Reference 1).</t>
  </si>
  <si>
    <t>The scraper top soil removal emissions are best represented by using the emission factor for "Top soil</t>
  </si>
  <si>
    <t>removal by scraper" as shown on Table 11.9-4 of AP-42 (Reference 1).</t>
  </si>
  <si>
    <t>The unloading of soil by scrapers can best be represented by the drop equation from AP-42, Chapter 13.2.4,</t>
  </si>
  <si>
    <t>Aggregate Handling and Storage Piles (Reference 2).</t>
  </si>
  <si>
    <t>The loading and unloading of soil into and out of trucks can best be represented by the drop equation from</t>
  </si>
  <si>
    <t>AP-42, Chapter 13.2.4, Aggregate Handling and Storage Piles (Reference 2).</t>
  </si>
  <si>
    <t>to tons (Reference 3).</t>
  </si>
  <si>
    <t>Inputs:</t>
  </si>
  <si>
    <t>Equipment</t>
  </si>
  <si>
    <t>Units</t>
  </si>
  <si>
    <t>Operating</t>
  </si>
  <si>
    <t>(hrs/day)</t>
  </si>
  <si>
    <t>(hrs/year)</t>
  </si>
  <si>
    <t>Dozer</t>
  </si>
  <si>
    <t>Compactor</t>
  </si>
  <si>
    <t>Tractor</t>
  </si>
  <si>
    <t>Scraper</t>
  </si>
  <si>
    <t>Total Operating Hours</t>
  </si>
  <si>
    <t>Emission Calculations:</t>
  </si>
  <si>
    <t>1.</t>
  </si>
  <si>
    <t>Dozer/Compactor Emissions:</t>
  </si>
  <si>
    <t>A. Determine emission factors from Table 11.9-1 of AP-42, Chapter 11.9.</t>
  </si>
  <si>
    <t>Where:</t>
  </si>
  <si>
    <t>s        =</t>
  </si>
  <si>
    <t xml:space="preserve"> material silt content, %</t>
  </si>
  <si>
    <t>M       =</t>
  </si>
  <si>
    <t xml:space="preserve"> material moisture content, %</t>
  </si>
  <si>
    <t>s          =</t>
  </si>
  <si>
    <t>%   (Overburden geometeric mean from Table 11.9-3)</t>
  </si>
  <si>
    <t>M        =</t>
  </si>
  <si>
    <t>%   (Average for landfill soil cover from Table 13.2.4-1)</t>
  </si>
  <si>
    <t>B. Calculate bulldozing/compacting emissions.</t>
  </si>
  <si>
    <t>hours/yr of dozing and compacting</t>
  </si>
  <si>
    <t>tons/yr for Bulldozing/Compaction</t>
  </si>
  <si>
    <t>Scraper Top Soil Removal Emissions:</t>
  </si>
  <si>
    <t>PM      =</t>
  </si>
  <si>
    <t xml:space="preserve"> emission factor for top soil removal, lb/ton</t>
  </si>
  <si>
    <t>(Default from AP-42)</t>
  </si>
  <si>
    <t>tons/yr for Soil Removal</t>
  </si>
  <si>
    <t>Scraper Unloading Emissions:</t>
  </si>
  <si>
    <t>A. Determine emission factor from Equation No. 1 of AP-42, Chapter 13.2.4:</t>
  </si>
  <si>
    <t xml:space="preserve"> emission factor for soil unloading, lb/ton</t>
  </si>
  <si>
    <t>k         =</t>
  </si>
  <si>
    <t>U         =</t>
  </si>
  <si>
    <t xml:space="preserve"> mean wind speed while unloading stockpile, mph</t>
  </si>
  <si>
    <t xml:space="preserve"> material (soil) moisture content, %</t>
  </si>
  <si>
    <t>U        =</t>
  </si>
  <si>
    <t xml:space="preserve">% </t>
  </si>
  <si>
    <t>(EPA AP-42, Table 11.9-3)</t>
  </si>
  <si>
    <t>PM        =</t>
  </si>
  <si>
    <t>tons/yr for Soil Unloading</t>
  </si>
  <si>
    <t>4.</t>
  </si>
  <si>
    <t>Soil Loading Emissions:</t>
  </si>
  <si>
    <t>AP-42, Chapter 13.2.4:</t>
  </si>
  <si>
    <t>k        =</t>
  </si>
  <si>
    <t xml:space="preserve"> mean wind speed while loading, mph</t>
  </si>
  <si>
    <t>(AP-42, Table 11.9-3)</t>
  </si>
  <si>
    <t>tons/yr for Soil Loading</t>
  </si>
  <si>
    <t>5.</t>
  </si>
  <si>
    <t>Soil Unloading Emissions:</t>
  </si>
  <si>
    <t>tons/yr for Earthmoving Equipment</t>
  </si>
  <si>
    <t>Landfill Soil Removal</t>
  </si>
  <si>
    <t>Soil Stock Pile</t>
  </si>
  <si>
    <t>Soil Loading/Unloading includes daily/intermediate cover, overburden soils, perimeter berm soils, liner subgrade/subbase soils, liner lay/aggregate, cap clay/aggregate, final cover.</t>
  </si>
  <si>
    <t>6.</t>
  </si>
  <si>
    <t>Wind Erosion Emissions:</t>
  </si>
  <si>
    <t>1.7*(s/1.5)*((365-p)/235)*(f/15)</t>
  </si>
  <si>
    <t>E       =</t>
  </si>
  <si>
    <t>s       =</t>
  </si>
  <si>
    <t>p       =</t>
  </si>
  <si>
    <t>f       =</t>
  </si>
  <si>
    <t>lb PM/acre-day</t>
  </si>
  <si>
    <t>lb PM-10/acre-day</t>
  </si>
  <si>
    <t>tons/yr for Wind Erosion</t>
  </si>
  <si>
    <t>tons/yr for Soil Loading/Unloading</t>
  </si>
  <si>
    <t>tons/yr for Soil Handling</t>
  </si>
  <si>
    <t>tons/year for Wind Erosion</t>
  </si>
  <si>
    <t>7.</t>
  </si>
  <si>
    <t>Blasting Emissions:</t>
  </si>
  <si>
    <t>Blast Drilling Emissions:</t>
  </si>
  <si>
    <t>Emission Factor for Blasting of Coal or Overburden (lb/blast)</t>
  </si>
  <si>
    <t>A       =</t>
  </si>
  <si>
    <t>A      =</t>
  </si>
  <si>
    <t>tons/year for Blasting</t>
  </si>
  <si>
    <t>Emission Factor for Blast Drilling of Overburden (lb/hole)</t>
  </si>
  <si>
    <t>lb/hole</t>
  </si>
  <si>
    <t>Number of Holes</t>
  </si>
  <si>
    <t>8.</t>
  </si>
  <si>
    <t>tons/year for Blast Drilling</t>
  </si>
  <si>
    <t>tons/yr for Blasting</t>
  </si>
  <si>
    <t>tons/yr for Blast Drilling</t>
  </si>
  <si>
    <t>The emissions from wind erosion are best represented by Eq. 4-9 of EPA-450/3-88-008.</t>
  </si>
  <si>
    <t xml:space="preserve">The emissions from blasting operations are best represented by the "blasting of coal or overburden" as shown </t>
  </si>
  <si>
    <t xml:space="preserve">The emissions from blast drilling operations are best represented by the "drilling of overburden" as shown </t>
  </si>
  <si>
    <t xml:space="preserve"> on Table 11.9-4 of AP-42 (Reference 1).</t>
  </si>
  <si>
    <t>lb/hr for PM</t>
  </si>
  <si>
    <t>PM           =</t>
  </si>
  <si>
    <t>PM       =</t>
  </si>
  <si>
    <t>total heavy duty vehicles per year traveling plant roads</t>
  </si>
  <si>
    <t>average weight (tons) of the loaded vehicles traveling the road</t>
  </si>
  <si>
    <t>average weight (tons) of the empty vehicles traveling the road</t>
  </si>
  <si>
    <t>Water spray and wet sweeper trucks are used on the paved roads to reduce fugitive dust from vehicle travel, with an assumed minimum 85% control</t>
  </si>
  <si>
    <t>Entire Source Emissions (Landfill + flare+generators+Fugitive particulate sources)</t>
  </si>
  <si>
    <t>Fugitive LFG</t>
  </si>
  <si>
    <t>Permit Basis</t>
  </si>
  <si>
    <t>Area 7</t>
  </si>
  <si>
    <t xml:space="preserve"> Criteria Pollutant Emissions - Ground Flare</t>
  </si>
  <si>
    <t>2022 Kohler Model 48RCLC LPG/Natural Gas Emergency Generator</t>
  </si>
  <si>
    <t>Source of Emission Factors:</t>
  </si>
  <si>
    <t>1 - Manufacturer Specifications for CO and NOx</t>
  </si>
  <si>
    <t>2 - AP-42 Table 3.2.-2 - Emission Factors for Uncontrolled Emission Factors for 4-stroke lean-burn Natural Gas/Propane Engines</t>
  </si>
  <si>
    <t>Engine Information:</t>
  </si>
  <si>
    <t>kW</t>
  </si>
  <si>
    <t>bhp</t>
  </si>
  <si>
    <r>
      <t>ft</t>
    </r>
    <r>
      <rPr>
        <vertAlign val="superscript"/>
        <sz val="11"/>
        <color indexed="8"/>
        <rFont val="Calibri"/>
        <family val="2"/>
      </rPr>
      <t>3</t>
    </r>
    <r>
      <rPr>
        <sz val="10"/>
        <rFont val="Arial"/>
      </rPr>
      <t>/hr (max fuel consumption)</t>
    </r>
  </si>
  <si>
    <r>
      <t>BTU/ft</t>
    </r>
    <r>
      <rPr>
        <vertAlign val="superscript"/>
        <sz val="11"/>
        <color indexed="8"/>
        <rFont val="Calibri"/>
        <family val="2"/>
      </rPr>
      <t>3</t>
    </r>
    <r>
      <rPr>
        <sz val="10"/>
        <rFont val="Arial"/>
      </rPr>
      <t xml:space="preserve"> (propane fuel rating)</t>
    </r>
  </si>
  <si>
    <t>Hours of Operation:</t>
  </si>
  <si>
    <t>hours/yr</t>
  </si>
  <si>
    <t>PTE Calculations:</t>
  </si>
  <si>
    <t>Emission Factor</t>
  </si>
  <si>
    <t>PTE</t>
  </si>
  <si>
    <t>g/kW-hr</t>
  </si>
  <si>
    <t>lb/MMBTU</t>
  </si>
  <si>
    <t>PM10</t>
  </si>
  <si>
    <t>B007</t>
  </si>
  <si>
    <t>103 hp (Office)</t>
  </si>
  <si>
    <t>P003</t>
  </si>
  <si>
    <t>6000 scfm</t>
  </si>
  <si>
    <t xml:space="preserve">* Single worst-case uncontrolled HAP emissions attributable to HCl. </t>
  </si>
  <si>
    <t>Attachment 2:  Emission Calculations</t>
  </si>
  <si>
    <t>Office Emergency Generator PTE Calculations</t>
  </si>
  <si>
    <r>
      <t>Conc '(ppmv)</t>
    </r>
    <r>
      <rPr>
        <vertAlign val="superscript"/>
        <sz val="11"/>
        <rFont val="Arial"/>
        <family val="2"/>
      </rPr>
      <t>a</t>
    </r>
  </si>
  <si>
    <r>
      <t>Total HAP</t>
    </r>
    <r>
      <rPr>
        <b/>
        <vertAlign val="superscript"/>
        <sz val="11"/>
        <color theme="5" tint="-0.249977111117893"/>
        <rFont val="Arial"/>
        <family val="2"/>
      </rPr>
      <t>e</t>
    </r>
  </si>
  <si>
    <r>
      <t>NO</t>
    </r>
    <r>
      <rPr>
        <b/>
        <vertAlign val="subscript"/>
        <sz val="11"/>
        <rFont val="Arial"/>
        <family val="2"/>
      </rPr>
      <t>x</t>
    </r>
  </si>
  <si>
    <r>
      <t>SO</t>
    </r>
    <r>
      <rPr>
        <b/>
        <vertAlign val="subscript"/>
        <sz val="11"/>
        <rFont val="Arial"/>
        <family val="2"/>
      </rPr>
      <t>2</t>
    </r>
  </si>
  <si>
    <r>
      <t>PM</t>
    </r>
    <r>
      <rPr>
        <b/>
        <vertAlign val="subscript"/>
        <sz val="11"/>
        <rFont val="Arial"/>
        <family val="2"/>
      </rPr>
      <t>10</t>
    </r>
  </si>
  <si>
    <r>
      <t>Total HAP</t>
    </r>
    <r>
      <rPr>
        <b/>
        <vertAlign val="superscript"/>
        <sz val="9"/>
        <color rgb="FFC00000"/>
        <rFont val="Arial"/>
        <family val="2"/>
      </rPr>
      <t>e</t>
    </r>
    <r>
      <rPr>
        <b/>
        <sz val="9"/>
        <color rgb="FFC00000"/>
        <rFont val="Arial"/>
        <family val="2"/>
      </rPr>
      <t xml:space="preserve"> </t>
    </r>
  </si>
  <si>
    <r>
      <t xml:space="preserve">     Note:  References to AP-42  are taken from, US Environmental Protection Agency, </t>
    </r>
    <r>
      <rPr>
        <b/>
        <i/>
        <sz val="8"/>
        <color rgb="FF002060"/>
        <rFont val="Arial"/>
        <family val="2"/>
      </rPr>
      <t>Compilation of Air Pollutant Emission Factors, Volume I. Stationary Point</t>
    </r>
  </si>
  <si>
    <r>
      <t>and</t>
    </r>
    <r>
      <rPr>
        <b/>
        <vertAlign val="superscript"/>
        <sz val="8"/>
        <color rgb="FF002060"/>
        <rFont val="Arial"/>
        <family val="2"/>
      </rPr>
      <t xml:space="preserve"> </t>
    </r>
    <r>
      <rPr>
        <b/>
        <i/>
        <sz val="8"/>
        <color rgb="FF002060"/>
        <rFont val="Arial"/>
        <family val="2"/>
      </rPr>
      <t>Area Sources, 5th Ed.</t>
    </r>
    <r>
      <rPr>
        <b/>
        <sz val="8"/>
        <color rgb="FF002060"/>
        <rFont val="Arial"/>
        <family val="2"/>
      </rPr>
      <t xml:space="preserve"> (unless otherwise noted)</t>
    </r>
  </si>
  <si>
    <r>
      <t xml:space="preserve">     a </t>
    </r>
    <r>
      <rPr>
        <b/>
        <sz val="8"/>
        <color rgb="FF002060"/>
        <rFont val="Arial"/>
        <family val="2"/>
      </rPr>
      <t xml:space="preserve">Source:  AP-42, Tables 2.4-1 and 2.4-2, November 1998. </t>
    </r>
  </si>
  <si>
    <r>
      <t xml:space="preserve">     b </t>
    </r>
    <r>
      <rPr>
        <b/>
        <sz val="8"/>
        <color rgb="FF002060"/>
        <rFont val="Arial"/>
        <family val="2"/>
      </rPr>
      <t xml:space="preserve">Source:  AP-42, Tables 2.4-3, November 1998. </t>
    </r>
  </si>
  <si>
    <r>
      <t xml:space="preserve">  </t>
    </r>
    <r>
      <rPr>
        <b/>
        <vertAlign val="superscript"/>
        <sz val="8"/>
        <color rgb="FF002060"/>
        <rFont val="Arial"/>
        <family val="2"/>
      </rPr>
      <t xml:space="preserve"> c </t>
    </r>
    <r>
      <rPr>
        <b/>
        <sz val="8"/>
        <color rgb="FF002060"/>
        <rFont val="Arial"/>
        <family val="2"/>
      </rPr>
      <t xml:space="preserve">AP-42 gives ranges for control efficiencies.  Control efficiencies for halogenated species range from 91 to 99.7 percent and control   </t>
    </r>
  </si>
  <si>
    <r>
      <t xml:space="preserve">     d </t>
    </r>
    <r>
      <rPr>
        <b/>
        <sz val="8"/>
        <color rgb="FF002060"/>
        <rFont val="Arial"/>
        <family val="2"/>
      </rPr>
      <t>Product of combustion</t>
    </r>
  </si>
  <si>
    <r>
      <t xml:space="preserve">     e </t>
    </r>
    <r>
      <rPr>
        <b/>
        <sz val="8"/>
        <color rgb="FF002060"/>
        <rFont val="Arial"/>
        <family val="2"/>
      </rPr>
      <t xml:space="preserve">Default outlet concentration; Source: US EPA. AP-42, Section 2.4.4, November 1998. </t>
    </r>
  </si>
  <si>
    <r>
      <rPr>
        <b/>
        <sz val="12"/>
        <color indexed="10"/>
        <rFont val="Times New Roman"/>
        <family val="1"/>
      </rPr>
      <t xml:space="preserve"> Fugitive Emissions Due to Landfill Operations and Construction</t>
    </r>
  </si>
  <si>
    <r>
      <t>Total PM</t>
    </r>
    <r>
      <rPr>
        <b/>
        <vertAlign val="subscript"/>
        <sz val="12"/>
        <rFont val="Times New Roman"/>
        <family val="1"/>
      </rPr>
      <t xml:space="preserve">2.5 </t>
    </r>
    <r>
      <rPr>
        <b/>
        <sz val="12"/>
        <rFont val="Times New Roman"/>
        <family val="1"/>
      </rPr>
      <t>=</t>
    </r>
  </si>
  <si>
    <r>
      <t>Total PM</t>
    </r>
    <r>
      <rPr>
        <b/>
        <vertAlign val="subscript"/>
        <sz val="12"/>
        <rFont val="Times New Roman"/>
        <family val="1"/>
      </rPr>
      <t xml:space="preserve">10 </t>
    </r>
    <r>
      <rPr>
        <b/>
        <sz val="12"/>
        <rFont val="Times New Roman"/>
        <family val="1"/>
      </rPr>
      <t>=</t>
    </r>
  </si>
  <si>
    <r>
      <t>Total PM</t>
    </r>
    <r>
      <rPr>
        <b/>
        <vertAlign val="subscript"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=</t>
    </r>
  </si>
  <si>
    <r>
      <t>Determine the annual PM</t>
    </r>
    <r>
      <rPr>
        <vertAlign val="subscript"/>
        <sz val="12"/>
        <rFont val="Times New Roman"/>
        <family val="1"/>
      </rPr>
      <t>2.5</t>
    </r>
    <r>
      <rPr>
        <sz val="12"/>
        <rFont val="Times New Roman"/>
        <family val="1"/>
      </rPr>
      <t xml:space="preserve">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emissions generated from earthmoving operations of landfill</t>
    </r>
  </si>
  <si>
    <r>
      <t xml:space="preserve">EPA's </t>
    </r>
    <r>
      <rPr>
        <i/>
        <sz val="12"/>
        <rFont val="Times New Roman"/>
        <family val="1"/>
      </rPr>
      <t>Compilation of Air Pollutant Emission Factors</t>
    </r>
    <r>
      <rPr>
        <sz val="12"/>
        <rFont val="Times New Roman"/>
        <family val="1"/>
      </rPr>
      <t xml:space="preserve"> (AP-42), Chapter 11, Section 9, "Western Surface</t>
    </r>
  </si>
  <si>
    <r>
      <t xml:space="preserve">EPA's </t>
    </r>
    <r>
      <rPr>
        <i/>
        <sz val="12"/>
        <rFont val="Times New Roman"/>
        <family val="1"/>
      </rPr>
      <t>Compilation of Air Pollutant Emission Factors</t>
    </r>
    <r>
      <rPr>
        <sz val="12"/>
        <rFont val="Times New Roman"/>
        <family val="1"/>
      </rPr>
      <t xml:space="preserve"> (AP-42), Chapter 13, Section 2.4, "Aggregate</t>
    </r>
  </si>
  <si>
    <r>
      <t xml:space="preserve">Road Construction Techniques, </t>
    </r>
    <r>
      <rPr>
        <i/>
        <sz val="12"/>
        <rFont val="Times New Roman"/>
        <family val="1"/>
      </rPr>
      <t>Watershed Management Field Manual,</t>
    </r>
    <r>
      <rPr>
        <sz val="12"/>
        <rFont val="Times New Roman"/>
        <family val="1"/>
      </rPr>
      <t xml:space="preserve"> Chapter 6</t>
    </r>
    <r>
      <rPr>
        <i/>
        <sz val="12"/>
        <rFont val="Times New Roman"/>
        <family val="1"/>
      </rPr>
      <t>,</t>
    </r>
    <r>
      <rPr>
        <sz val="12"/>
        <rFont val="Times New Roman"/>
        <family val="1"/>
      </rPr>
      <t xml:space="preserve"> FAO Conservation Guide.</t>
    </r>
  </si>
  <si>
    <r>
      <t>SOIL</t>
    </r>
    <r>
      <rPr>
        <vertAlign val="subscript"/>
        <sz val="12"/>
        <color indexed="52"/>
        <rFont val="Times New Roman"/>
        <family val="1"/>
      </rPr>
      <t>ANN</t>
    </r>
    <r>
      <rPr>
        <sz val="12"/>
        <color indexed="52"/>
        <rFont val="Times New Roman"/>
        <family val="1"/>
      </rPr>
      <t xml:space="preserve"> =</t>
    </r>
  </si>
  <si>
    <r>
      <t>E</t>
    </r>
    <r>
      <rPr>
        <vertAlign val="subscript"/>
        <sz val="12"/>
        <rFont val="Times New Roman"/>
        <family val="1"/>
      </rPr>
      <t>DC, PM</t>
    </r>
    <r>
      <rPr>
        <sz val="12"/>
        <rFont val="Times New Roman"/>
        <family val="1"/>
      </rPr>
      <t xml:space="preserve"> =</t>
    </r>
  </si>
  <si>
    <r>
      <t xml:space="preserve"> 5.7 * (s)</t>
    </r>
    <r>
      <rPr>
        <vertAlign val="superscript"/>
        <sz val="12"/>
        <rFont val="Times New Roman"/>
        <family val="1"/>
      </rPr>
      <t>1.3</t>
    </r>
    <r>
      <rPr>
        <sz val="12"/>
        <rFont val="Times New Roman"/>
        <family val="1"/>
      </rPr>
      <t xml:space="preserve"> / (M)</t>
    </r>
    <r>
      <rPr>
        <vertAlign val="superscript"/>
        <sz val="12"/>
        <rFont val="Times New Roman"/>
        <family val="1"/>
      </rPr>
      <t xml:space="preserve">1.2 </t>
    </r>
  </si>
  <si>
    <r>
      <t>E</t>
    </r>
    <r>
      <rPr>
        <vertAlign val="subscript"/>
        <sz val="12"/>
        <rFont val="Times New Roman"/>
        <family val="1"/>
      </rPr>
      <t xml:space="preserve">DC, PM10 </t>
    </r>
    <r>
      <rPr>
        <sz val="12"/>
        <rFont val="Times New Roman"/>
        <family val="1"/>
      </rPr>
      <t>=</t>
    </r>
  </si>
  <si>
    <r>
      <t xml:space="preserve"> 1 * (s)</t>
    </r>
    <r>
      <rPr>
        <vertAlign val="superscript"/>
        <sz val="12"/>
        <rFont val="Times New Roman"/>
        <family val="1"/>
      </rPr>
      <t>1.5</t>
    </r>
    <r>
      <rPr>
        <sz val="12"/>
        <rFont val="Times New Roman"/>
        <family val="1"/>
      </rPr>
      <t xml:space="preserve"> / (M)</t>
    </r>
    <r>
      <rPr>
        <vertAlign val="superscript"/>
        <sz val="12"/>
        <rFont val="Times New Roman"/>
        <family val="1"/>
      </rPr>
      <t>1.4</t>
    </r>
    <r>
      <rPr>
        <sz val="12"/>
        <rFont val="Times New Roman"/>
        <family val="1"/>
      </rPr>
      <t xml:space="preserve"> * (0.75)</t>
    </r>
  </si>
  <si>
    <r>
      <t>E</t>
    </r>
    <r>
      <rPr>
        <vertAlign val="subscript"/>
        <sz val="12"/>
        <rFont val="Times New Roman"/>
        <family val="1"/>
      </rPr>
      <t>DC</t>
    </r>
    <r>
      <rPr>
        <sz val="12"/>
        <rFont val="Times New Roman"/>
        <family val="1"/>
      </rPr>
      <t xml:space="preserve">      =</t>
    </r>
  </si>
  <si>
    <r>
      <t xml:space="preserve"> emission factor, lb/hr for PM and PM</t>
    </r>
    <r>
      <rPr>
        <vertAlign val="subscript"/>
        <sz val="12"/>
        <rFont val="Times New Roman"/>
        <family val="1"/>
      </rPr>
      <t>10</t>
    </r>
  </si>
  <si>
    <r>
      <t>E</t>
    </r>
    <r>
      <rPr>
        <vertAlign val="subscript"/>
        <sz val="12"/>
        <rFont val="Times New Roman"/>
        <family val="1"/>
      </rPr>
      <t>DC, PM</t>
    </r>
    <r>
      <rPr>
        <sz val="12"/>
        <rFont val="Times New Roman"/>
        <family val="1"/>
      </rPr>
      <t xml:space="preserve">       =</t>
    </r>
  </si>
  <si>
    <r>
      <t>E</t>
    </r>
    <r>
      <rPr>
        <vertAlign val="subscript"/>
        <sz val="12"/>
        <rFont val="Times New Roman"/>
        <family val="1"/>
      </rPr>
      <t>DC, PM10</t>
    </r>
    <r>
      <rPr>
        <sz val="12"/>
        <rFont val="Times New Roman"/>
        <family val="1"/>
      </rPr>
      <t xml:space="preserve">       =</t>
    </r>
  </si>
  <si>
    <r>
      <t>PM</t>
    </r>
    <r>
      <rPr>
        <vertAlign val="subscript"/>
        <sz val="12"/>
        <rFont val="Times New Roman"/>
        <family val="1"/>
      </rPr>
      <t xml:space="preserve">         </t>
    </r>
    <r>
      <rPr>
        <sz val="12"/>
        <rFont val="Times New Roman"/>
        <family val="1"/>
      </rPr>
      <t>=</t>
    </r>
  </si>
  <si>
    <r>
      <t>E</t>
    </r>
    <r>
      <rPr>
        <vertAlign val="subscript"/>
        <sz val="12"/>
        <rFont val="Times New Roman"/>
        <family val="1"/>
      </rPr>
      <t>DC</t>
    </r>
    <r>
      <rPr>
        <sz val="12"/>
        <rFont val="Times New Roman"/>
        <family val="1"/>
      </rPr>
      <t xml:space="preserve"> *  DC</t>
    </r>
    <r>
      <rPr>
        <vertAlign val="subscript"/>
        <sz val="12"/>
        <rFont val="Times New Roman"/>
        <family val="1"/>
      </rPr>
      <t>hrs</t>
    </r>
    <r>
      <rPr>
        <sz val="12"/>
        <rFont val="Times New Roman"/>
        <family val="1"/>
      </rPr>
      <t xml:space="preserve"> / 2000</t>
    </r>
  </si>
  <si>
    <r>
      <t>E</t>
    </r>
    <r>
      <rPr>
        <vertAlign val="subscript"/>
        <sz val="12"/>
        <rFont val="Times New Roman"/>
        <family val="1"/>
      </rPr>
      <t>DC, PM</t>
    </r>
    <r>
      <rPr>
        <sz val="12"/>
        <rFont val="Times New Roman"/>
        <family val="1"/>
      </rPr>
      <t xml:space="preserve">    =</t>
    </r>
  </si>
  <si>
    <r>
      <t>E</t>
    </r>
    <r>
      <rPr>
        <vertAlign val="subscript"/>
        <sz val="12"/>
        <rFont val="Times New Roman"/>
        <family val="1"/>
      </rPr>
      <t>DC, PM10</t>
    </r>
    <r>
      <rPr>
        <sz val="12"/>
        <rFont val="Times New Roman"/>
        <family val="1"/>
      </rPr>
      <t xml:space="preserve">    =</t>
    </r>
  </si>
  <si>
    <r>
      <t>lb/hr for PM</t>
    </r>
    <r>
      <rPr>
        <vertAlign val="subscript"/>
        <sz val="12"/>
        <rFont val="Times New Roman"/>
        <family val="1"/>
      </rPr>
      <t>10</t>
    </r>
    <r>
      <rPr>
        <b/>
        <sz val="10"/>
        <rFont val="Times New Roman"/>
        <family val="1"/>
      </rPr>
      <t/>
    </r>
  </si>
  <si>
    <r>
      <t>DC</t>
    </r>
    <r>
      <rPr>
        <vertAlign val="subscript"/>
        <sz val="12"/>
        <rFont val="Times New Roman"/>
        <family val="1"/>
      </rPr>
      <t>hrs</t>
    </r>
    <r>
      <rPr>
        <sz val="12"/>
        <rFont val="Times New Roman"/>
        <family val="1"/>
      </rPr>
      <t xml:space="preserve">    =</t>
    </r>
  </si>
  <si>
    <r>
      <t>PM</t>
    </r>
    <r>
      <rPr>
        <b/>
        <vertAlign val="subscript"/>
        <sz val="12"/>
        <rFont val="Times New Roman"/>
        <family val="1"/>
      </rPr>
      <t xml:space="preserve">      </t>
    </r>
    <r>
      <rPr>
        <b/>
        <sz val="12"/>
        <rFont val="Times New Roman"/>
        <family val="1"/>
      </rPr>
      <t>=</t>
    </r>
  </si>
  <si>
    <r>
      <t>PM</t>
    </r>
    <r>
      <rPr>
        <b/>
        <vertAlign val="subscript"/>
        <sz val="12"/>
        <rFont val="Times New Roman"/>
        <family val="1"/>
      </rPr>
      <t xml:space="preserve">10      </t>
    </r>
    <r>
      <rPr>
        <b/>
        <sz val="12"/>
        <rFont val="Times New Roman"/>
        <family val="1"/>
      </rPr>
      <t>=</t>
    </r>
  </si>
  <si>
    <r>
      <t>Calculate scraper top soil removal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emissions from Table 11.9-4 of AP-42, Chapter 11.9.</t>
    </r>
  </si>
  <si>
    <r>
      <t xml:space="preserve">   E</t>
    </r>
    <r>
      <rPr>
        <vertAlign val="subscript"/>
        <sz val="12"/>
        <rFont val="Times New Roman"/>
        <family val="1"/>
      </rPr>
      <t>SL</t>
    </r>
    <r>
      <rPr>
        <sz val="12"/>
        <rFont val="Times New Roman"/>
        <family val="1"/>
      </rPr>
      <t xml:space="preserve"> * SOIL</t>
    </r>
    <r>
      <rPr>
        <vertAlign val="subscript"/>
        <sz val="12"/>
        <rFont val="Times New Roman"/>
        <family val="1"/>
      </rPr>
      <t>ANN</t>
    </r>
    <r>
      <rPr>
        <sz val="12"/>
        <rFont val="Times New Roman"/>
        <family val="1"/>
      </rPr>
      <t xml:space="preserve"> / 2000 * SF</t>
    </r>
    <r>
      <rPr>
        <vertAlign val="subscript"/>
        <sz val="12"/>
        <rFont val="Times New Roman"/>
        <family val="1"/>
      </rPr>
      <t>PM</t>
    </r>
  </si>
  <si>
    <r>
      <t>E</t>
    </r>
    <r>
      <rPr>
        <vertAlign val="subscript"/>
        <sz val="12"/>
        <rFont val="Times New Roman"/>
        <family val="1"/>
      </rPr>
      <t>SL</t>
    </r>
    <r>
      <rPr>
        <sz val="12"/>
        <rFont val="Times New Roman"/>
        <family val="1"/>
      </rPr>
      <t xml:space="preserve">      =</t>
    </r>
  </si>
  <si>
    <r>
      <t>SF</t>
    </r>
    <r>
      <rPr>
        <vertAlign val="subscript"/>
        <sz val="12"/>
        <rFont val="Times New Roman"/>
        <family val="1"/>
      </rPr>
      <t>PM</t>
    </r>
    <r>
      <rPr>
        <sz val="12"/>
        <rFont val="Times New Roman"/>
        <family val="1"/>
      </rPr>
      <t xml:space="preserve">     = </t>
    </r>
  </si>
  <si>
    <r>
      <t xml:space="preserve"> scaling factor for PM</t>
    </r>
    <r>
      <rPr>
        <vertAlign val="subscript"/>
        <sz val="12"/>
        <rFont val="Times New Roman"/>
        <family val="1"/>
      </rPr>
      <t>10</t>
    </r>
  </si>
  <si>
    <r>
      <t>E</t>
    </r>
    <r>
      <rPr>
        <vertAlign val="subscript"/>
        <sz val="12"/>
        <rFont val="Times New Roman"/>
        <family val="1"/>
      </rPr>
      <t xml:space="preserve">SL      </t>
    </r>
    <r>
      <rPr>
        <sz val="12"/>
        <rFont val="Times New Roman"/>
        <family val="1"/>
      </rPr>
      <t xml:space="preserve">  =</t>
    </r>
  </si>
  <si>
    <r>
      <t>SOIL</t>
    </r>
    <r>
      <rPr>
        <vertAlign val="subscript"/>
        <sz val="12"/>
        <rFont val="Times New Roman"/>
        <family val="1"/>
      </rPr>
      <t>ANN</t>
    </r>
    <r>
      <rPr>
        <sz val="12"/>
        <rFont val="Times New Roman"/>
        <family val="1"/>
      </rPr>
      <t xml:space="preserve">     =</t>
    </r>
  </si>
  <si>
    <r>
      <t>SF</t>
    </r>
    <r>
      <rPr>
        <vertAlign val="subscript"/>
        <sz val="12"/>
        <rFont val="Times New Roman"/>
        <family val="1"/>
      </rPr>
      <t xml:space="preserve">PM10 </t>
    </r>
    <r>
      <rPr>
        <sz val="12"/>
        <rFont val="Times New Roman"/>
        <family val="1"/>
      </rPr>
      <t xml:space="preserve">     = </t>
    </r>
  </si>
  <si>
    <r>
      <t>PM</t>
    </r>
    <r>
      <rPr>
        <b/>
        <vertAlign val="subscript"/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  =</t>
    </r>
  </si>
  <si>
    <r>
      <t>PM</t>
    </r>
    <r>
      <rPr>
        <b/>
        <vertAlign val="subscript"/>
        <sz val="12"/>
        <rFont val="Times New Roman"/>
        <family val="1"/>
      </rPr>
      <t>10</t>
    </r>
    <r>
      <rPr>
        <b/>
        <sz val="12"/>
        <rFont val="Times New Roman"/>
        <family val="1"/>
      </rPr>
      <t xml:space="preserve">    =</t>
    </r>
  </si>
  <si>
    <r>
      <t>E</t>
    </r>
    <r>
      <rPr>
        <vertAlign val="subscript"/>
        <sz val="12"/>
        <rFont val="Times New Roman"/>
        <family val="1"/>
      </rPr>
      <t>SU</t>
    </r>
    <r>
      <rPr>
        <sz val="12"/>
        <rFont val="Times New Roman"/>
        <family val="1"/>
      </rPr>
      <t xml:space="preserve">         =</t>
    </r>
  </si>
  <si>
    <r>
      <t xml:space="preserve"> (k) (0.0032) [(U/5)</t>
    </r>
    <r>
      <rPr>
        <vertAlign val="superscript"/>
        <sz val="12"/>
        <rFont val="Times New Roman"/>
        <family val="1"/>
      </rPr>
      <t>1.3</t>
    </r>
    <r>
      <rPr>
        <sz val="12"/>
        <rFont val="Times New Roman"/>
        <family val="1"/>
      </rPr>
      <t xml:space="preserve"> / (M/2)</t>
    </r>
    <r>
      <rPr>
        <vertAlign val="superscript"/>
        <sz val="12"/>
        <rFont val="Times New Roman"/>
        <family val="1"/>
      </rPr>
      <t>1.4</t>
    </r>
    <r>
      <rPr>
        <sz val="12"/>
        <rFont val="Times New Roman"/>
        <family val="1"/>
      </rPr>
      <t>]</t>
    </r>
  </si>
  <si>
    <r>
      <t>E</t>
    </r>
    <r>
      <rPr>
        <vertAlign val="subscript"/>
        <sz val="12"/>
        <rFont val="Times New Roman"/>
        <family val="1"/>
      </rPr>
      <t>SU</t>
    </r>
    <r>
      <rPr>
        <sz val="12"/>
        <rFont val="Times New Roman"/>
        <family val="1"/>
      </rPr>
      <t xml:space="preserve">        =</t>
    </r>
  </si>
  <si>
    <r>
      <t xml:space="preserve"> particle size multiplier for PM and PM</t>
    </r>
    <r>
      <rPr>
        <vertAlign val="subscript"/>
        <sz val="12"/>
        <rFont val="Times New Roman"/>
        <family val="1"/>
      </rPr>
      <t>10</t>
    </r>
  </si>
  <si>
    <r>
      <t>k</t>
    </r>
    <r>
      <rPr>
        <vertAlign val="subscript"/>
        <sz val="12"/>
        <rFont val="Times New Roman"/>
        <family val="1"/>
      </rPr>
      <t>PM</t>
    </r>
    <r>
      <rPr>
        <sz val="12"/>
        <rFont val="Times New Roman"/>
        <family val="1"/>
      </rPr>
      <t xml:space="preserve">      =</t>
    </r>
  </si>
  <si>
    <r>
      <t>k</t>
    </r>
    <r>
      <rPr>
        <vertAlign val="subscript"/>
        <sz val="12"/>
        <rFont val="Times New Roman"/>
        <family val="1"/>
      </rPr>
      <t>PM10</t>
    </r>
    <r>
      <rPr>
        <sz val="12"/>
        <rFont val="Times New Roman"/>
        <family val="1"/>
      </rPr>
      <t xml:space="preserve">    =</t>
    </r>
  </si>
  <si>
    <r>
      <t>E</t>
    </r>
    <r>
      <rPr>
        <vertAlign val="subscript"/>
        <sz val="12"/>
        <rFont val="Times New Roman"/>
        <family val="1"/>
      </rPr>
      <t>SU, PM =</t>
    </r>
  </si>
  <si>
    <r>
      <t>E</t>
    </r>
    <r>
      <rPr>
        <vertAlign val="subscript"/>
        <sz val="12"/>
        <rFont val="Times New Roman"/>
        <family val="1"/>
      </rPr>
      <t>SU,</t>
    </r>
    <r>
      <rPr>
        <sz val="12"/>
        <rFont val="Times New Roman"/>
        <family val="1"/>
      </rPr>
      <t xml:space="preserve"> </t>
    </r>
    <r>
      <rPr>
        <vertAlign val="subscript"/>
        <sz val="12"/>
        <rFont val="Times New Roman"/>
        <family val="1"/>
      </rPr>
      <t>PM10 =</t>
    </r>
  </si>
  <si>
    <r>
      <t>B. Calculate scraper unloading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emissions.</t>
    </r>
  </si>
  <si>
    <r>
      <t>E</t>
    </r>
    <r>
      <rPr>
        <vertAlign val="subscript"/>
        <sz val="12"/>
        <rFont val="Times New Roman"/>
        <family val="1"/>
      </rPr>
      <t>SU</t>
    </r>
    <r>
      <rPr>
        <sz val="12"/>
        <rFont val="Times New Roman"/>
        <family val="1"/>
      </rPr>
      <t xml:space="preserve"> * SOIL</t>
    </r>
    <r>
      <rPr>
        <vertAlign val="subscript"/>
        <sz val="12"/>
        <rFont val="Times New Roman"/>
        <family val="1"/>
      </rPr>
      <t>ANN</t>
    </r>
    <r>
      <rPr>
        <sz val="12"/>
        <rFont val="Times New Roman"/>
        <family val="1"/>
      </rPr>
      <t xml:space="preserve"> / 2000</t>
    </r>
  </si>
  <si>
    <r>
      <t>E</t>
    </r>
    <r>
      <rPr>
        <vertAlign val="subscript"/>
        <sz val="12"/>
        <rFont val="Times New Roman"/>
        <family val="1"/>
      </rPr>
      <t>SU, PM</t>
    </r>
    <r>
      <rPr>
        <sz val="12"/>
        <rFont val="Times New Roman"/>
        <family val="1"/>
      </rPr>
      <t xml:space="preserve">      =</t>
    </r>
  </si>
  <si>
    <r>
      <t>E</t>
    </r>
    <r>
      <rPr>
        <vertAlign val="subscript"/>
        <sz val="12"/>
        <rFont val="Times New Roman"/>
        <family val="1"/>
      </rPr>
      <t>SU, PM10</t>
    </r>
    <r>
      <rPr>
        <sz val="12"/>
        <rFont val="Times New Roman"/>
        <family val="1"/>
      </rPr>
      <t xml:space="preserve">     =       </t>
    </r>
  </si>
  <si>
    <r>
      <t>PM</t>
    </r>
    <r>
      <rPr>
        <b/>
        <vertAlign val="subscript"/>
        <sz val="12"/>
        <rFont val="Times New Roman"/>
        <family val="1"/>
      </rPr>
      <t xml:space="preserve">10 </t>
    </r>
    <r>
      <rPr>
        <b/>
        <sz val="12"/>
        <rFont val="Times New Roman"/>
        <family val="1"/>
      </rPr>
      <t xml:space="preserve">        =</t>
    </r>
  </si>
  <si>
    <r>
      <t>A. Determine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 factors for loading soil into trucks using Equation No. 1 of</t>
    </r>
  </si>
  <si>
    <r>
      <t>E</t>
    </r>
    <r>
      <rPr>
        <vertAlign val="subscript"/>
        <sz val="12"/>
        <rFont val="Times New Roman"/>
        <family val="1"/>
      </rPr>
      <t>SL</t>
    </r>
    <r>
      <rPr>
        <sz val="12"/>
        <rFont val="Times New Roman"/>
        <family val="1"/>
      </rPr>
      <t xml:space="preserve">       =</t>
    </r>
  </si>
  <si>
    <t xml:space="preserve"> emission factor for soil loading, lb/ton</t>
  </si>
  <si>
    <r>
      <t>U</t>
    </r>
    <r>
      <rPr>
        <vertAlign val="subscript"/>
        <sz val="12"/>
        <rFont val="Times New Roman"/>
        <family val="1"/>
      </rPr>
      <t xml:space="preserve">  </t>
    </r>
    <r>
      <rPr>
        <sz val="12"/>
        <rFont val="Times New Roman"/>
        <family val="1"/>
      </rPr>
      <t xml:space="preserve">      =</t>
    </r>
  </si>
  <si>
    <r>
      <t>k</t>
    </r>
    <r>
      <rPr>
        <vertAlign val="subscript"/>
        <sz val="12"/>
        <rFont val="Times New Roman"/>
        <family val="1"/>
      </rPr>
      <t xml:space="preserve">PM    </t>
    </r>
    <r>
      <rPr>
        <sz val="12"/>
        <rFont val="Times New Roman"/>
        <family val="1"/>
      </rPr>
      <t xml:space="preserve">  =</t>
    </r>
  </si>
  <si>
    <r>
      <t>k</t>
    </r>
    <r>
      <rPr>
        <vertAlign val="subscript"/>
        <sz val="12"/>
        <rFont val="Times New Roman"/>
        <family val="1"/>
      </rPr>
      <t>PM10</t>
    </r>
    <r>
      <rPr>
        <sz val="12"/>
        <rFont val="Times New Roman"/>
        <family val="1"/>
      </rPr>
      <t xml:space="preserve">   =</t>
    </r>
  </si>
  <si>
    <r>
      <t>E</t>
    </r>
    <r>
      <rPr>
        <vertAlign val="subscript"/>
        <sz val="12"/>
        <rFont val="Times New Roman"/>
        <family val="1"/>
      </rPr>
      <t xml:space="preserve">SL, PM   </t>
    </r>
    <r>
      <rPr>
        <sz val="12"/>
        <rFont val="Times New Roman"/>
        <family val="1"/>
      </rPr>
      <t xml:space="preserve">       =</t>
    </r>
  </si>
  <si>
    <r>
      <t>E</t>
    </r>
    <r>
      <rPr>
        <vertAlign val="subscript"/>
        <sz val="12"/>
        <rFont val="Times New Roman"/>
        <family val="1"/>
      </rPr>
      <t>SL, PM10</t>
    </r>
    <r>
      <rPr>
        <sz val="12"/>
        <rFont val="Times New Roman"/>
        <family val="1"/>
      </rPr>
      <t xml:space="preserve">       =</t>
    </r>
  </si>
  <si>
    <r>
      <t>B. Calculate the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emissions for topsoil loaded into trucks.</t>
    </r>
  </si>
  <si>
    <r>
      <t>E</t>
    </r>
    <r>
      <rPr>
        <vertAlign val="subscript"/>
        <sz val="12"/>
        <rFont val="Times New Roman"/>
        <family val="1"/>
      </rPr>
      <t>SL</t>
    </r>
    <r>
      <rPr>
        <sz val="12"/>
        <rFont val="Times New Roman"/>
        <family val="1"/>
      </rPr>
      <t xml:space="preserve"> * SOIL</t>
    </r>
    <r>
      <rPr>
        <vertAlign val="subscript"/>
        <sz val="12"/>
        <rFont val="Times New Roman"/>
        <family val="1"/>
      </rPr>
      <t>ANN</t>
    </r>
    <r>
      <rPr>
        <sz val="12"/>
        <rFont val="Times New Roman"/>
        <family val="1"/>
      </rPr>
      <t xml:space="preserve"> / 2000</t>
    </r>
  </si>
  <si>
    <r>
      <t>E</t>
    </r>
    <r>
      <rPr>
        <vertAlign val="subscript"/>
        <sz val="12"/>
        <rFont val="Times New Roman"/>
        <family val="1"/>
      </rPr>
      <t xml:space="preserve">SL, PM   </t>
    </r>
    <r>
      <rPr>
        <sz val="12"/>
        <rFont val="Times New Roman"/>
        <family val="1"/>
      </rPr>
      <t xml:space="preserve">  =</t>
    </r>
  </si>
  <si>
    <r>
      <t>E</t>
    </r>
    <r>
      <rPr>
        <vertAlign val="subscript"/>
        <sz val="12"/>
        <rFont val="Times New Roman"/>
        <family val="1"/>
      </rPr>
      <t xml:space="preserve">SL, PM10  </t>
    </r>
    <r>
      <rPr>
        <sz val="12"/>
        <rFont val="Times New Roman"/>
        <family val="1"/>
      </rPr>
      <t xml:space="preserve"> =</t>
    </r>
  </si>
  <si>
    <r>
      <t>SOIL</t>
    </r>
    <r>
      <rPr>
        <vertAlign val="subscript"/>
        <sz val="12"/>
        <rFont val="Times New Roman"/>
        <family val="1"/>
      </rPr>
      <t>ANN</t>
    </r>
    <r>
      <rPr>
        <sz val="12"/>
        <rFont val="Times New Roman"/>
        <family val="1"/>
      </rPr>
      <t xml:space="preserve"> =</t>
    </r>
  </si>
  <si>
    <r>
      <t>A. Determine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 factors from Equation No. 1 of AP-42, Chapter 13.2.4:</t>
    </r>
  </si>
  <si>
    <r>
      <t>E</t>
    </r>
    <r>
      <rPr>
        <vertAlign val="subscript"/>
        <sz val="12"/>
        <rFont val="Times New Roman"/>
        <family val="1"/>
      </rPr>
      <t>SU</t>
    </r>
    <r>
      <rPr>
        <sz val="12"/>
        <rFont val="Times New Roman"/>
        <family val="1"/>
      </rPr>
      <t xml:space="preserve">      =</t>
    </r>
  </si>
  <si>
    <r>
      <t>k</t>
    </r>
    <r>
      <rPr>
        <vertAlign val="subscript"/>
        <sz val="12"/>
        <rFont val="Times New Roman"/>
        <family val="1"/>
      </rPr>
      <t xml:space="preserve">PM   </t>
    </r>
    <r>
      <rPr>
        <sz val="12"/>
        <rFont val="Times New Roman"/>
        <family val="1"/>
      </rPr>
      <t xml:space="preserve">   =</t>
    </r>
  </si>
  <si>
    <r>
      <t>E</t>
    </r>
    <r>
      <rPr>
        <vertAlign val="subscript"/>
        <sz val="12"/>
        <rFont val="Times New Roman"/>
        <family val="1"/>
      </rPr>
      <t>SL, PM2.5</t>
    </r>
    <r>
      <rPr>
        <sz val="12"/>
        <rFont val="Times New Roman"/>
        <family val="1"/>
      </rPr>
      <t xml:space="preserve">       =</t>
    </r>
  </si>
  <si>
    <r>
      <t>B. Calculate PM</t>
    </r>
    <r>
      <rPr>
        <vertAlign val="subscript"/>
        <sz val="12"/>
        <rFont val="Times New Roman"/>
        <family val="1"/>
      </rPr>
      <t xml:space="preserve">2.5 </t>
    </r>
    <r>
      <rPr>
        <sz val="12"/>
        <rFont val="Times New Roman"/>
        <family val="1"/>
      </rPr>
      <t>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truck unloading emissions.</t>
    </r>
  </si>
  <si>
    <r>
      <t>E</t>
    </r>
    <r>
      <rPr>
        <vertAlign val="subscript"/>
        <sz val="12"/>
        <rFont val="Times New Roman"/>
        <family val="1"/>
      </rPr>
      <t xml:space="preserve">SU, PM   </t>
    </r>
    <r>
      <rPr>
        <sz val="12"/>
        <rFont val="Times New Roman"/>
        <family val="1"/>
      </rPr>
      <t xml:space="preserve">  =</t>
    </r>
  </si>
  <si>
    <r>
      <t>E</t>
    </r>
    <r>
      <rPr>
        <vertAlign val="subscript"/>
        <sz val="12"/>
        <rFont val="Times New Roman"/>
        <family val="1"/>
      </rPr>
      <t>SU, PM10</t>
    </r>
    <r>
      <rPr>
        <sz val="12"/>
        <rFont val="Times New Roman"/>
        <family val="1"/>
      </rPr>
      <t xml:space="preserve">  =</t>
    </r>
  </si>
  <si>
    <r>
      <t>A. Determine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 factors from Equ. 4-9, EPA-450/3-88-008:</t>
    </r>
  </si>
  <si>
    <r>
      <t>E</t>
    </r>
    <r>
      <rPr>
        <vertAlign val="subscript"/>
        <sz val="12"/>
        <rFont val="Times New Roman"/>
        <family val="1"/>
      </rPr>
      <t>WE</t>
    </r>
    <r>
      <rPr>
        <sz val="12"/>
        <rFont val="Times New Roman"/>
        <family val="1"/>
      </rPr>
      <t xml:space="preserve">         =</t>
    </r>
  </si>
  <si>
    <r>
      <t>E</t>
    </r>
    <r>
      <rPr>
        <vertAlign val="subscript"/>
        <sz val="12"/>
        <rFont val="Times New Roman"/>
        <family val="1"/>
      </rPr>
      <t>WE</t>
    </r>
    <r>
      <rPr>
        <sz val="12"/>
        <rFont val="Times New Roman"/>
        <family val="1"/>
      </rPr>
      <t xml:space="preserve">      =</t>
    </r>
  </si>
  <si>
    <r>
      <t>E</t>
    </r>
    <r>
      <rPr>
        <b/>
        <vertAlign val="subscript"/>
        <sz val="12"/>
        <rFont val="Times New Roman"/>
        <family val="1"/>
      </rPr>
      <t>WE, PM</t>
    </r>
    <r>
      <rPr>
        <b/>
        <sz val="12"/>
        <rFont val="Times New Roman"/>
        <family val="1"/>
      </rPr>
      <t xml:space="preserve">           =</t>
    </r>
  </si>
  <si>
    <r>
      <t>E</t>
    </r>
    <r>
      <rPr>
        <b/>
        <vertAlign val="subscript"/>
        <sz val="12"/>
        <rFont val="Times New Roman"/>
        <family val="1"/>
      </rPr>
      <t>WE, PM10</t>
    </r>
    <r>
      <rPr>
        <b/>
        <sz val="12"/>
        <rFont val="Times New Roman"/>
        <family val="1"/>
      </rPr>
      <t xml:space="preserve">       =</t>
    </r>
  </si>
  <si>
    <r>
      <t>A. Determine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 factors from Table 11.9-1</t>
    </r>
  </si>
  <si>
    <r>
      <t>E</t>
    </r>
    <r>
      <rPr>
        <vertAlign val="subscript"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        =</t>
    </r>
  </si>
  <si>
    <r>
      <t>0.000014 (A)</t>
    </r>
    <r>
      <rPr>
        <vertAlign val="superscript"/>
        <sz val="12"/>
        <rFont val="Times New Roman"/>
        <family val="1"/>
      </rPr>
      <t>1.5</t>
    </r>
  </si>
  <si>
    <r>
      <t>E</t>
    </r>
    <r>
      <rPr>
        <vertAlign val="subscript"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     =</t>
    </r>
  </si>
  <si>
    <r>
      <t>Horizontal Area (ft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 with blasting depth of &lt;= 70 ft.</t>
    </r>
  </si>
  <si>
    <r>
      <t>E</t>
    </r>
    <r>
      <rPr>
        <b/>
        <vertAlign val="subscript"/>
        <sz val="12"/>
        <rFont val="Times New Roman"/>
        <family val="1"/>
      </rPr>
      <t>B, PM</t>
    </r>
    <r>
      <rPr>
        <b/>
        <sz val="12"/>
        <rFont val="Times New Roman"/>
        <family val="1"/>
      </rPr>
      <t xml:space="preserve">           =</t>
    </r>
  </si>
  <si>
    <r>
      <t>E</t>
    </r>
    <r>
      <rPr>
        <b/>
        <vertAlign val="subscript"/>
        <sz val="12"/>
        <rFont val="Times New Roman"/>
        <family val="1"/>
      </rPr>
      <t>B, PM10</t>
    </r>
    <r>
      <rPr>
        <b/>
        <sz val="12"/>
        <rFont val="Times New Roman"/>
        <family val="1"/>
      </rPr>
      <t xml:space="preserve">       =</t>
    </r>
  </si>
  <si>
    <r>
      <t>A. Determine PM and PM</t>
    </r>
    <r>
      <rPr>
        <vertAlign val="subscript"/>
        <sz val="12"/>
        <rFont val="Times New Roman"/>
        <family val="1"/>
      </rPr>
      <t>10</t>
    </r>
    <r>
      <rPr>
        <sz val="12"/>
        <rFont val="Times New Roman"/>
        <family val="1"/>
      </rPr>
      <t xml:space="preserve"> emission factors from Table 11.9-4</t>
    </r>
  </si>
  <si>
    <r>
      <t>E</t>
    </r>
    <r>
      <rPr>
        <vertAlign val="subscript"/>
        <sz val="12"/>
        <rFont val="Times New Roman"/>
        <family val="1"/>
      </rPr>
      <t>BD</t>
    </r>
    <r>
      <rPr>
        <sz val="12"/>
        <rFont val="Times New Roman"/>
        <family val="1"/>
      </rPr>
      <t xml:space="preserve">      =</t>
    </r>
  </si>
  <si>
    <r>
      <t>E</t>
    </r>
    <r>
      <rPr>
        <b/>
        <vertAlign val="subscript"/>
        <sz val="12"/>
        <rFont val="Times New Roman"/>
        <family val="1"/>
      </rPr>
      <t>BD, PM</t>
    </r>
    <r>
      <rPr>
        <b/>
        <sz val="12"/>
        <rFont val="Times New Roman"/>
        <family val="1"/>
      </rPr>
      <t xml:space="preserve">           =</t>
    </r>
  </si>
  <si>
    <r>
      <t>E</t>
    </r>
    <r>
      <rPr>
        <b/>
        <vertAlign val="subscript"/>
        <sz val="12"/>
        <rFont val="Times New Roman"/>
        <family val="1"/>
      </rPr>
      <t>BD, PM10</t>
    </r>
    <r>
      <rPr>
        <b/>
        <sz val="12"/>
        <rFont val="Times New Roman"/>
        <family val="1"/>
      </rPr>
      <t xml:space="preserve">       =</t>
    </r>
  </si>
  <si>
    <t xml:space="preserve">3.PM emission is based on Article XXI, Section 2104.02.a.1.A. </t>
  </si>
  <si>
    <t>that a minimum control efficiency of 90% will be achieved through this method of control.  Total controlled PTE of PM/PM10:</t>
  </si>
  <si>
    <t>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</si>
</sst>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0.00000"/>
    <numFmt numFmtId="168" formatCode="0.000"/>
    <numFmt numFmtId="169" formatCode="_(* #,##0_);_(* \(#,##0\);_(* &quot;-&quot;??_);_(@_)"/>
    <numFmt numFmtId="170" formatCode="0.00E+00_)"/>
    <numFmt numFmtId="171" formatCode="0.00_)"/>
    <numFmt numFmtId="172" formatCode="0.0000"/>
    <numFmt numFmtId="173" formatCode="0.000000"/>
    <numFmt numFmtId="174" formatCode="0.0_)"/>
    <numFmt numFmtId="175" formatCode="#,##0.000"/>
    <numFmt numFmtId="176" formatCode="0."/>
  </numFmts>
  <fonts count="87">
    <font>
      <sz val="10"/>
      <name val="Arial"/>
    </font>
    <font>
      <sz val="10"/>
      <name val="Arial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sz val="9"/>
      <color indexed="23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12"/>
      <name val="Arial"/>
      <family val="2"/>
    </font>
    <font>
      <b/>
      <sz val="9"/>
      <name val="Wingdings"/>
      <charset val="2"/>
    </font>
    <font>
      <sz val="10"/>
      <name val="Arial"/>
      <family val="2"/>
    </font>
    <font>
      <sz val="9"/>
      <name val="Wingdings"/>
      <charset val="2"/>
    </font>
    <font>
      <b/>
      <sz val="8"/>
      <name val="Arial"/>
      <family val="2"/>
    </font>
    <font>
      <b/>
      <i/>
      <sz val="8"/>
      <name val="Arial"/>
      <family val="2"/>
    </font>
    <font>
      <b/>
      <sz val="9"/>
      <color indexed="10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  <font>
      <b/>
      <vertAlign val="subscript"/>
      <sz val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vertAlign val="superscript"/>
      <sz val="8"/>
      <name val="Times New Roman"/>
      <family val="1"/>
    </font>
    <font>
      <b/>
      <i/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vertAlign val="superscript"/>
      <sz val="11"/>
      <name val="Arial"/>
      <family val="2"/>
    </font>
    <font>
      <sz val="11"/>
      <name val="Wingdings"/>
      <charset val="2"/>
    </font>
    <font>
      <b/>
      <sz val="11"/>
      <color rgb="FFFF0000"/>
      <name val="Arial"/>
      <family val="2"/>
    </font>
    <font>
      <b/>
      <sz val="11"/>
      <color theme="6" tint="-0.249977111117893"/>
      <name val="Arial"/>
      <family val="2"/>
    </font>
    <font>
      <b/>
      <sz val="11"/>
      <color theme="6" tint="-0.249977111117893"/>
      <name val="Wingdings"/>
      <charset val="2"/>
    </font>
    <font>
      <b/>
      <sz val="11"/>
      <color theme="3"/>
      <name val="Arial"/>
      <family val="2"/>
    </font>
    <font>
      <b/>
      <sz val="11"/>
      <color theme="5" tint="-0.249977111117893"/>
      <name val="Arial"/>
      <family val="2"/>
    </font>
    <font>
      <b/>
      <vertAlign val="superscript"/>
      <sz val="11"/>
      <color theme="5" tint="-0.249977111117893"/>
      <name val="Arial"/>
      <family val="2"/>
    </font>
    <font>
      <b/>
      <sz val="11"/>
      <color theme="5" tint="-0.249977111117893"/>
      <name val="Wingdings"/>
      <charset val="2"/>
    </font>
    <font>
      <b/>
      <vertAlign val="subscript"/>
      <sz val="11"/>
      <name val="Arial"/>
      <family val="2"/>
    </font>
    <font>
      <b/>
      <sz val="9"/>
      <color rgb="FFC00000"/>
      <name val="Arial"/>
      <family val="2"/>
    </font>
    <font>
      <b/>
      <vertAlign val="superscript"/>
      <sz val="9"/>
      <color rgb="FFC00000"/>
      <name val="Arial"/>
      <family val="2"/>
    </font>
    <font>
      <b/>
      <sz val="9"/>
      <color rgb="FFC00000"/>
      <name val="Wingdings"/>
      <charset val="2"/>
    </font>
    <font>
      <b/>
      <sz val="8"/>
      <color rgb="FFC00000"/>
      <name val="Arial"/>
      <family val="2"/>
    </font>
    <font>
      <b/>
      <sz val="8"/>
      <color rgb="FF002060"/>
      <name val="Arial"/>
      <family val="2"/>
    </font>
    <font>
      <b/>
      <i/>
      <sz val="8"/>
      <color rgb="FF002060"/>
      <name val="Arial"/>
      <family val="2"/>
    </font>
    <font>
      <b/>
      <sz val="9"/>
      <color rgb="FF002060"/>
      <name val="Arial"/>
      <family val="2"/>
    </font>
    <font>
      <b/>
      <sz val="9"/>
      <color rgb="FF002060"/>
      <name val="Wingdings"/>
      <charset val="2"/>
    </font>
    <font>
      <b/>
      <vertAlign val="superscript"/>
      <sz val="8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2"/>
      <name val="Arial MT"/>
    </font>
    <font>
      <sz val="12"/>
      <color rgb="FFFF000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sz val="12"/>
      <color theme="5" tint="-0.249977111117893"/>
      <name val="Times New Roman"/>
      <family val="1"/>
    </font>
    <font>
      <vertAlign val="subscript"/>
      <sz val="12"/>
      <color indexed="52"/>
      <name val="Times New Roman"/>
      <family val="1"/>
    </font>
    <font>
      <sz val="12"/>
      <color indexed="52"/>
      <name val="Times New Roman"/>
      <family val="1"/>
    </font>
    <font>
      <vertAlign val="superscript"/>
      <sz val="12"/>
      <name val="Times New Roman"/>
      <family val="1"/>
    </font>
    <font>
      <u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0"/>
        <bgColor rgb="FF000000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2" fillId="0" borderId="0" applyFont="0"/>
    <xf numFmtId="0" fontId="2" fillId="0" borderId="0"/>
    <xf numFmtId="0" fontId="2" fillId="0" borderId="0"/>
    <xf numFmtId="0" fontId="2" fillId="0" borderId="0" applyFont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9" fontId="1" fillId="0" borderId="0" applyFont="0" applyFill="0" applyBorder="0" applyAlignment="0" applyProtection="0"/>
  </cellStyleXfs>
  <cellXfs count="810">
    <xf numFmtId="0" fontId="0" fillId="0" borderId="0" xfId="0"/>
    <xf numFmtId="0" fontId="2" fillId="0" borderId="0" xfId="6"/>
    <xf numFmtId="0" fontId="3" fillId="0" borderId="0" xfId="6" applyFont="1"/>
    <xf numFmtId="0" fontId="3" fillId="0" borderId="0" xfId="6" applyFont="1" applyAlignment="1">
      <alignment horizontal="right"/>
    </xf>
    <xf numFmtId="0" fontId="3" fillId="0" borderId="1" xfId="6" applyFont="1" applyBorder="1"/>
    <xf numFmtId="0" fontId="3" fillId="0" borderId="1" xfId="6" applyFont="1" applyBorder="1" applyAlignment="1">
      <alignment horizontal="right"/>
    </xf>
    <xf numFmtId="0" fontId="3" fillId="0" borderId="0" xfId="6" applyFont="1" applyAlignment="1">
      <alignment horizontal="left"/>
    </xf>
    <xf numFmtId="0" fontId="3" fillId="0" borderId="0" xfId="6" quotePrefix="1" applyFont="1" applyAlignment="1">
      <alignment horizontal="left"/>
    </xf>
    <xf numFmtId="0" fontId="3" fillId="0" borderId="2" xfId="10" applyFont="1" applyBorder="1"/>
    <xf numFmtId="3" fontId="3" fillId="0" borderId="2" xfId="10" applyNumberFormat="1" applyFont="1" applyBorder="1"/>
    <xf numFmtId="0" fontId="3" fillId="0" borderId="2" xfId="6" applyFont="1" applyBorder="1" applyAlignment="1">
      <alignment horizontal="right"/>
    </xf>
    <xf numFmtId="0" fontId="3" fillId="0" borderId="2" xfId="6" applyFont="1" applyBorder="1"/>
    <xf numFmtId="0" fontId="4" fillId="0" borderId="0" xfId="10" applyFont="1" applyAlignment="1">
      <alignment horizontal="left"/>
    </xf>
    <xf numFmtId="0" fontId="3" fillId="0" borderId="0" xfId="10" applyFont="1"/>
    <xf numFmtId="0" fontId="3" fillId="0" borderId="0" xfId="10" quotePrefix="1" applyFont="1" applyAlignment="1">
      <alignment horizontal="left"/>
    </xf>
    <xf numFmtId="0" fontId="4" fillId="0" borderId="0" xfId="6" quotePrefix="1" applyFont="1" applyAlignment="1">
      <alignment horizontal="right"/>
    </xf>
    <xf numFmtId="0" fontId="4" fillId="0" borderId="0" xfId="6" quotePrefix="1" applyFont="1" applyAlignment="1">
      <alignment horizontal="center"/>
    </xf>
    <xf numFmtId="2" fontId="4" fillId="0" borderId="0" xfId="6" applyNumberFormat="1" applyFont="1" applyAlignment="1">
      <alignment horizontal="right"/>
    </xf>
    <xf numFmtId="1" fontId="4" fillId="0" borderId="0" xfId="6" applyNumberFormat="1" applyFont="1" applyAlignment="1">
      <alignment horizontal="center"/>
    </xf>
    <xf numFmtId="0" fontId="4" fillId="2" borderId="0" xfId="6" quotePrefix="1" applyFont="1" applyFill="1" applyAlignment="1">
      <alignment horizontal="right"/>
    </xf>
    <xf numFmtId="0" fontId="4" fillId="2" borderId="0" xfId="6" applyFont="1" applyFill="1" applyAlignment="1">
      <alignment horizontal="center"/>
    </xf>
    <xf numFmtId="0" fontId="4" fillId="0" borderId="0" xfId="6" applyFont="1"/>
    <xf numFmtId="2" fontId="4" fillId="2" borderId="0" xfId="6" applyNumberFormat="1" applyFont="1" applyFill="1" applyAlignment="1">
      <alignment horizontal="center"/>
    </xf>
    <xf numFmtId="1" fontId="4" fillId="2" borderId="0" xfId="6" applyNumberFormat="1" applyFont="1" applyFill="1" applyAlignment="1">
      <alignment horizontal="center"/>
    </xf>
    <xf numFmtId="2" fontId="4" fillId="0" borderId="0" xfId="6" applyNumberFormat="1" applyFont="1" applyAlignment="1">
      <alignment horizontal="centerContinuous"/>
    </xf>
    <xf numFmtId="2" fontId="4" fillId="2" borderId="0" xfId="6" quotePrefix="1" applyNumberFormat="1" applyFont="1" applyFill="1" applyAlignment="1">
      <alignment horizontal="center"/>
    </xf>
    <xf numFmtId="2" fontId="4" fillId="0" borderId="0" xfId="6" applyNumberFormat="1" applyFont="1" applyAlignment="1">
      <alignment horizontal="center"/>
    </xf>
    <xf numFmtId="2" fontId="4" fillId="0" borderId="0" xfId="6" quotePrefix="1" applyNumberFormat="1" applyFont="1" applyAlignment="1">
      <alignment horizontal="center"/>
    </xf>
    <xf numFmtId="0" fontId="4" fillId="2" borderId="1" xfId="6" quotePrefix="1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/>
    </xf>
    <xf numFmtId="2" fontId="4" fillId="2" borderId="1" xfId="6" quotePrefix="1" applyNumberFormat="1" applyFont="1" applyFill="1" applyBorder="1" applyAlignment="1">
      <alignment horizontal="center"/>
    </xf>
    <xf numFmtId="1" fontId="9" fillId="2" borderId="1" xfId="6" applyNumberFormat="1" applyFont="1" applyFill="1" applyBorder="1" applyAlignment="1">
      <alignment horizontal="center"/>
    </xf>
    <xf numFmtId="1" fontId="4" fillId="2" borderId="1" xfId="6" quotePrefix="1" applyNumberFormat="1" applyFont="1" applyFill="1" applyBorder="1" applyAlignment="1">
      <alignment horizontal="center"/>
    </xf>
    <xf numFmtId="2" fontId="4" fillId="0" borderId="1" xfId="6" applyNumberFormat="1" applyFont="1" applyBorder="1" applyAlignment="1">
      <alignment horizontal="center"/>
    </xf>
    <xf numFmtId="0" fontId="3" fillId="0" borderId="0" xfId="6" applyFont="1" applyAlignment="1">
      <alignment horizontal="center"/>
    </xf>
    <xf numFmtId="167" fontId="3" fillId="0" borderId="0" xfId="6" applyNumberFormat="1" applyFont="1"/>
    <xf numFmtId="0" fontId="3" fillId="0" borderId="1" xfId="6" applyFont="1" applyBorder="1" applyAlignment="1">
      <alignment horizontal="left"/>
    </xf>
    <xf numFmtId="3" fontId="3" fillId="0" borderId="0" xfId="6" applyNumberFormat="1" applyFont="1"/>
    <xf numFmtId="0" fontId="3" fillId="0" borderId="0" xfId="10" applyFont="1" applyAlignment="1">
      <alignment horizontal="left"/>
    </xf>
    <xf numFmtId="2" fontId="3" fillId="0" borderId="0" xfId="6" applyNumberFormat="1" applyFont="1"/>
    <xf numFmtId="0" fontId="3" fillId="0" borderId="0" xfId="10" applyFont="1" applyAlignment="1">
      <alignment horizontal="right"/>
    </xf>
    <xf numFmtId="1" fontId="3" fillId="0" borderId="0" xfId="6" applyNumberFormat="1" applyFont="1"/>
    <xf numFmtId="2" fontId="3" fillId="0" borderId="0" xfId="10" quotePrefix="1" applyNumberFormat="1" applyFont="1" applyAlignment="1">
      <alignment horizontal="right"/>
    </xf>
    <xf numFmtId="9" fontId="3" fillId="0" borderId="0" xfId="10" applyNumberFormat="1" applyFont="1" applyAlignment="1">
      <alignment horizontal="right"/>
    </xf>
    <xf numFmtId="0" fontId="3" fillId="0" borderId="1" xfId="10" applyFont="1" applyBorder="1" applyAlignment="1">
      <alignment horizontal="left"/>
    </xf>
    <xf numFmtId="0" fontId="4" fillId="0" borderId="0" xfId="6" applyFont="1" applyAlignment="1">
      <alignment horizontal="right"/>
    </xf>
    <xf numFmtId="0" fontId="2" fillId="0" borderId="0" xfId="6" applyFont="1"/>
    <xf numFmtId="3" fontId="3" fillId="0" borderId="0" xfId="6" applyNumberFormat="1" applyFont="1" applyAlignment="1" applyProtection="1">
      <alignment horizontal="right"/>
      <protection locked="0"/>
    </xf>
    <xf numFmtId="3" fontId="3" fillId="0" borderId="0" xfId="6" applyNumberFormat="1" applyFont="1" applyAlignment="1">
      <alignment horizontal="right"/>
    </xf>
    <xf numFmtId="3" fontId="3" fillId="0" borderId="0" xfId="15" quotePrefix="1" applyNumberFormat="1" applyFont="1" applyFill="1" applyBorder="1" applyAlignment="1" applyProtection="1">
      <alignment horizontal="right"/>
      <protection locked="0"/>
    </xf>
    <xf numFmtId="164" fontId="3" fillId="0" borderId="0" xfId="6" applyNumberFormat="1" applyFont="1" applyAlignment="1">
      <alignment horizontal="right"/>
    </xf>
    <xf numFmtId="2" fontId="3" fillId="0" borderId="0" xfId="10" applyNumberFormat="1" applyFont="1" applyProtection="1">
      <protection locked="0"/>
    </xf>
    <xf numFmtId="2" fontId="3" fillId="0" borderId="0" xfId="10" applyNumberFormat="1" applyFont="1" applyAlignment="1">
      <alignment horizontal="right"/>
    </xf>
    <xf numFmtId="165" fontId="3" fillId="0" borderId="0" xfId="6" applyNumberFormat="1" applyFont="1"/>
    <xf numFmtId="2" fontId="3" fillId="2" borderId="0" xfId="6" applyNumberFormat="1" applyFont="1" applyFill="1" applyAlignment="1">
      <alignment horizontal="right"/>
    </xf>
    <xf numFmtId="166" fontId="3" fillId="2" borderId="0" xfId="6" applyNumberFormat="1" applyFont="1" applyFill="1" applyAlignment="1">
      <alignment horizontal="right"/>
    </xf>
    <xf numFmtId="1" fontId="3" fillId="2" borderId="0" xfId="6" applyNumberFormat="1" applyFont="1" applyFill="1" applyAlignment="1">
      <alignment horizontal="center"/>
    </xf>
    <xf numFmtId="2" fontId="3" fillId="0" borderId="0" xfId="6" applyNumberFormat="1" applyFont="1" applyAlignment="1">
      <alignment horizontal="right"/>
    </xf>
    <xf numFmtId="49" fontId="3" fillId="0" borderId="0" xfId="6" applyNumberFormat="1" applyFont="1" applyAlignment="1">
      <alignment horizontal="right"/>
    </xf>
    <xf numFmtId="2" fontId="3" fillId="2" borderId="1" xfId="6" applyNumberFormat="1" applyFont="1" applyFill="1" applyBorder="1" applyAlignment="1">
      <alignment horizontal="right"/>
    </xf>
    <xf numFmtId="166" fontId="3" fillId="2" borderId="1" xfId="6" applyNumberFormat="1" applyFont="1" applyFill="1" applyBorder="1" applyAlignment="1">
      <alignment horizontal="right"/>
    </xf>
    <xf numFmtId="1" fontId="3" fillId="2" borderId="1" xfId="6" applyNumberFormat="1" applyFont="1" applyFill="1" applyBorder="1" applyAlignment="1">
      <alignment horizontal="center"/>
    </xf>
    <xf numFmtId="168" fontId="3" fillId="2" borderId="0" xfId="10" applyNumberFormat="1" applyFont="1" applyFill="1" applyAlignment="1" applyProtection="1">
      <alignment horizontal="right"/>
      <protection locked="0"/>
    </xf>
    <xf numFmtId="165" fontId="3" fillId="0" borderId="0" xfId="10" applyNumberFormat="1" applyFont="1"/>
    <xf numFmtId="2" fontId="3" fillId="2" borderId="0" xfId="10" applyNumberFormat="1" applyFont="1" applyFill="1" applyAlignment="1" applyProtection="1">
      <alignment horizontal="right"/>
      <protection locked="0"/>
    </xf>
    <xf numFmtId="0" fontId="3" fillId="0" borderId="0" xfId="10" applyFont="1" applyProtection="1">
      <protection locked="0"/>
    </xf>
    <xf numFmtId="165" fontId="3" fillId="0" borderId="0" xfId="10" applyNumberFormat="1" applyFont="1" applyAlignment="1">
      <alignment horizontal="right"/>
    </xf>
    <xf numFmtId="9" fontId="3" fillId="0" borderId="0" xfId="10" applyNumberFormat="1" applyFont="1" applyProtection="1">
      <protection locked="0"/>
    </xf>
    <xf numFmtId="1" fontId="3" fillId="0" borderId="0" xfId="10" applyNumberFormat="1" applyFont="1" applyAlignment="1">
      <alignment horizontal="right"/>
    </xf>
    <xf numFmtId="0" fontId="3" fillId="0" borderId="1" xfId="10" quotePrefix="1" applyFont="1" applyBorder="1" applyAlignment="1">
      <alignment horizontal="left"/>
    </xf>
    <xf numFmtId="0" fontId="3" fillId="0" borderId="3" xfId="6" applyFont="1" applyBorder="1" applyAlignment="1">
      <alignment horizontal="left"/>
    </xf>
    <xf numFmtId="0" fontId="4" fillId="0" borderId="3" xfId="6" quotePrefix="1" applyFont="1" applyBorder="1" applyAlignment="1">
      <alignment horizontal="left"/>
    </xf>
    <xf numFmtId="0" fontId="11" fillId="0" borderId="3" xfId="6" applyFont="1" applyBorder="1" applyAlignment="1">
      <alignment horizontal="right"/>
    </xf>
    <xf numFmtId="2" fontId="4" fillId="2" borderId="3" xfId="6" applyNumberFormat="1" applyFont="1" applyFill="1" applyBorder="1" applyAlignment="1">
      <alignment horizontal="right"/>
    </xf>
    <xf numFmtId="1" fontId="4" fillId="2" borderId="3" xfId="6" applyNumberFormat="1" applyFont="1" applyFill="1" applyBorder="1" applyAlignment="1">
      <alignment horizontal="center"/>
    </xf>
    <xf numFmtId="0" fontId="3" fillId="0" borderId="3" xfId="6" applyFont="1" applyBorder="1" applyAlignment="1">
      <alignment horizontal="right"/>
    </xf>
    <xf numFmtId="2" fontId="3" fillId="0" borderId="3" xfId="6" applyNumberFormat="1" applyFont="1" applyBorder="1" applyAlignment="1">
      <alignment horizontal="right"/>
    </xf>
    <xf numFmtId="1" fontId="4" fillId="0" borderId="0" xfId="6" quotePrefix="1" applyNumberFormat="1" applyFont="1" applyAlignment="1">
      <alignment horizontal="centerContinuous" wrapText="1"/>
    </xf>
    <xf numFmtId="0" fontId="3" fillId="0" borderId="0" xfId="11" applyFont="1" applyAlignment="1">
      <alignment horizontal="left"/>
    </xf>
    <xf numFmtId="0" fontId="3" fillId="0" borderId="0" xfId="11" applyFont="1"/>
    <xf numFmtId="3" fontId="3" fillId="0" borderId="0" xfId="11" applyNumberFormat="1" applyFont="1" applyAlignment="1">
      <alignment horizontal="right"/>
    </xf>
    <xf numFmtId="3" fontId="3" fillId="0" borderId="0" xfId="15" applyNumberFormat="1" applyFont="1" applyFill="1" applyBorder="1" applyAlignment="1">
      <alignment horizontal="right"/>
    </xf>
    <xf numFmtId="0" fontId="7" fillId="0" borderId="0" xfId="11" quotePrefix="1" applyFont="1" applyAlignment="1">
      <alignment horizontal="left"/>
    </xf>
    <xf numFmtId="9" fontId="3" fillId="0" borderId="0" xfId="15" applyFont="1" applyFill="1" applyBorder="1" applyAlignment="1">
      <alignment horizontal="right"/>
    </xf>
    <xf numFmtId="0" fontId="2" fillId="0" borderId="0" xfId="13"/>
    <xf numFmtId="0" fontId="3" fillId="0" borderId="0" xfId="13" applyFont="1"/>
    <xf numFmtId="0" fontId="4" fillId="0" borderId="0" xfId="13" quotePrefix="1" applyFont="1" applyAlignment="1">
      <alignment horizontal="left" wrapText="1"/>
    </xf>
    <xf numFmtId="0" fontId="7" fillId="0" borderId="0" xfId="13" applyFont="1" applyAlignment="1">
      <alignment horizontal="left"/>
    </xf>
    <xf numFmtId="0" fontId="3" fillId="0" borderId="0" xfId="13" quotePrefix="1" applyFont="1" applyAlignment="1">
      <alignment horizontal="left"/>
    </xf>
    <xf numFmtId="0" fontId="3" fillId="0" borderId="0" xfId="13" applyFont="1" applyAlignment="1">
      <alignment horizontal="left"/>
    </xf>
    <xf numFmtId="0" fontId="4" fillId="0" borderId="0" xfId="13" applyFont="1"/>
    <xf numFmtId="0" fontId="4" fillId="0" borderId="0" xfId="13" quotePrefix="1" applyFont="1" applyAlignment="1">
      <alignment horizontal="left"/>
    </xf>
    <xf numFmtId="0" fontId="4" fillId="0" borderId="0" xfId="14" quotePrefix="1" applyFont="1" applyAlignment="1">
      <alignment horizontal="left"/>
    </xf>
    <xf numFmtId="0" fontId="3" fillId="0" borderId="0" xfId="14" applyFont="1" applyAlignment="1">
      <alignment horizontal="center"/>
    </xf>
    <xf numFmtId="0" fontId="4" fillId="0" borderId="0" xfId="14" quotePrefix="1" applyFont="1" applyAlignment="1">
      <alignment horizontal="center"/>
    </xf>
    <xf numFmtId="2" fontId="3" fillId="0" borderId="0" xfId="14" applyNumberFormat="1" applyFont="1" applyAlignment="1">
      <alignment horizontal="right"/>
    </xf>
    <xf numFmtId="1" fontId="3" fillId="0" borderId="0" xfId="14" applyNumberFormat="1" applyFont="1" applyAlignment="1">
      <alignment horizontal="center"/>
    </xf>
    <xf numFmtId="168" fontId="3" fillId="0" borderId="0" xfId="14" applyNumberFormat="1" applyFont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quotePrefix="1" applyFont="1" applyAlignment="1">
      <alignment horizontal="center"/>
    </xf>
    <xf numFmtId="3" fontId="3" fillId="0" borderId="0" xfId="14" applyNumberFormat="1" applyFont="1" applyAlignment="1">
      <alignment horizontal="right"/>
    </xf>
    <xf numFmtId="0" fontId="12" fillId="0" borderId="0" xfId="14" applyFont="1"/>
    <xf numFmtId="0" fontId="3" fillId="2" borderId="4" xfId="14" quotePrefix="1" applyFont="1" applyFill="1" applyBorder="1" applyAlignment="1">
      <alignment horizontal="right"/>
    </xf>
    <xf numFmtId="0" fontId="3" fillId="2" borderId="5" xfId="14" applyFont="1" applyFill="1" applyBorder="1" applyAlignment="1">
      <alignment horizontal="center"/>
    </xf>
    <xf numFmtId="0" fontId="3" fillId="2" borderId="5" xfId="14" quotePrefix="1" applyFont="1" applyFill="1" applyBorder="1" applyAlignment="1">
      <alignment horizontal="right"/>
    </xf>
    <xf numFmtId="0" fontId="3" fillId="0" borderId="5" xfId="14" applyFont="1" applyBorder="1"/>
    <xf numFmtId="1" fontId="3" fillId="2" borderId="5" xfId="14" applyNumberFormat="1" applyFont="1" applyFill="1" applyBorder="1" applyAlignment="1">
      <alignment horizontal="center"/>
    </xf>
    <xf numFmtId="0" fontId="3" fillId="0" borderId="2" xfId="14" applyFont="1" applyBorder="1"/>
    <xf numFmtId="0" fontId="3" fillId="0" borderId="5" xfId="14" applyFont="1" applyBorder="1" applyAlignment="1">
      <alignment horizontal="centerContinuous"/>
    </xf>
    <xf numFmtId="0" fontId="3" fillId="2" borderId="6" xfId="14" applyFont="1" applyFill="1" applyBorder="1" applyAlignment="1">
      <alignment horizontal="center"/>
    </xf>
    <xf numFmtId="0" fontId="3" fillId="2" borderId="7" xfId="14" applyFont="1" applyFill="1" applyBorder="1" applyAlignment="1">
      <alignment horizontal="center"/>
    </xf>
    <xf numFmtId="0" fontId="3" fillId="2" borderId="7" xfId="14" quotePrefix="1" applyFont="1" applyFill="1" applyBorder="1" applyAlignment="1">
      <alignment horizontal="right"/>
    </xf>
    <xf numFmtId="2" fontId="3" fillId="2" borderId="7" xfId="14" applyNumberFormat="1" applyFont="1" applyFill="1" applyBorder="1" applyAlignment="1">
      <alignment horizontal="center"/>
    </xf>
    <xf numFmtId="1" fontId="3" fillId="2" borderId="7" xfId="14" applyNumberFormat="1" applyFont="1" applyFill="1" applyBorder="1" applyAlignment="1">
      <alignment horizontal="center"/>
    </xf>
    <xf numFmtId="168" fontId="3" fillId="2" borderId="1" xfId="14" applyNumberFormat="1" applyFont="1" applyFill="1" applyBorder="1" applyAlignment="1">
      <alignment horizontal="centerContinuous"/>
    </xf>
    <xf numFmtId="0" fontId="3" fillId="0" borderId="8" xfId="14" applyFont="1" applyBorder="1" applyAlignment="1">
      <alignment horizontal="centerContinuous"/>
    </xf>
    <xf numFmtId="0" fontId="3" fillId="2" borderId="9" xfId="14" quotePrefix="1" applyFont="1" applyFill="1" applyBorder="1" applyAlignment="1">
      <alignment horizontal="center"/>
    </xf>
    <xf numFmtId="0" fontId="3" fillId="2" borderId="8" xfId="14" applyFont="1" applyFill="1" applyBorder="1" applyAlignment="1">
      <alignment horizontal="center"/>
    </xf>
    <xf numFmtId="2" fontId="3" fillId="2" borderId="8" xfId="14" quotePrefix="1" applyNumberFormat="1" applyFont="1" applyFill="1" applyBorder="1" applyAlignment="1">
      <alignment horizontal="center"/>
    </xf>
    <xf numFmtId="2" fontId="3" fillId="2" borderId="10" xfId="14" applyNumberFormat="1" applyFont="1" applyFill="1" applyBorder="1" applyAlignment="1">
      <alignment horizontal="center"/>
    </xf>
    <xf numFmtId="1" fontId="7" fillId="2" borderId="8" xfId="14" applyNumberFormat="1" applyFont="1" applyFill="1" applyBorder="1" applyAlignment="1">
      <alignment horizontal="center"/>
    </xf>
    <xf numFmtId="168" fontId="3" fillId="0" borderId="8" xfId="14" quotePrefix="1" applyNumberFormat="1" applyFont="1" applyBorder="1" applyAlignment="1">
      <alignment horizontal="center"/>
    </xf>
    <xf numFmtId="168" fontId="3" fillId="2" borderId="10" xfId="14" applyNumberFormat="1" applyFont="1" applyFill="1" applyBorder="1" applyAlignment="1">
      <alignment horizontal="center"/>
    </xf>
    <xf numFmtId="0" fontId="3" fillId="0" borderId="4" xfId="14" quotePrefix="1" applyFont="1" applyBorder="1" applyAlignment="1">
      <alignment horizontal="left"/>
    </xf>
    <xf numFmtId="166" fontId="10" fillId="2" borderId="5" xfId="14" applyNumberFormat="1" applyFont="1" applyFill="1" applyBorder="1" applyAlignment="1">
      <alignment horizontal="right"/>
    </xf>
    <xf numFmtId="0" fontId="3" fillId="0" borderId="6" xfId="14" quotePrefix="1" applyFont="1" applyBorder="1" applyAlignment="1">
      <alignment horizontal="left"/>
    </xf>
    <xf numFmtId="166" fontId="10" fillId="2" borderId="11" xfId="14" applyNumberFormat="1" applyFont="1" applyFill="1" applyBorder="1" applyAlignment="1">
      <alignment horizontal="right"/>
    </xf>
    <xf numFmtId="0" fontId="3" fillId="0" borderId="6" xfId="14" applyFont="1" applyBorder="1" applyAlignment="1">
      <alignment horizontal="left"/>
    </xf>
    <xf numFmtId="166" fontId="6" fillId="2" borderId="6" xfId="14" applyNumberFormat="1" applyFont="1" applyFill="1" applyBorder="1" applyAlignment="1">
      <alignment horizontal="right"/>
    </xf>
    <xf numFmtId="0" fontId="3" fillId="0" borderId="2" xfId="14" quotePrefix="1" applyFont="1" applyBorder="1" applyAlignment="1">
      <alignment horizontal="center"/>
    </xf>
    <xf numFmtId="0" fontId="13" fillId="0" borderId="2" xfId="14" applyFont="1" applyBorder="1" applyAlignment="1">
      <alignment horizontal="right"/>
    </xf>
    <xf numFmtId="2" fontId="3" fillId="2" borderId="2" xfId="14" applyNumberFormat="1" applyFont="1" applyFill="1" applyBorder="1" applyAlignment="1">
      <alignment horizontal="right"/>
    </xf>
    <xf numFmtId="0" fontId="3" fillId="0" borderId="12" xfId="14" applyFont="1" applyBorder="1" applyAlignment="1">
      <alignment horizontal="left"/>
    </xf>
    <xf numFmtId="0" fontId="3" fillId="0" borderId="1" xfId="14" applyFont="1" applyBorder="1"/>
    <xf numFmtId="0" fontId="3" fillId="0" borderId="1" xfId="14" quotePrefix="1" applyFont="1" applyBorder="1" applyAlignment="1">
      <alignment horizontal="center"/>
    </xf>
    <xf numFmtId="0" fontId="13" fillId="0" borderId="1" xfId="14" applyFont="1" applyBorder="1" applyAlignment="1">
      <alignment horizontal="right"/>
    </xf>
    <xf numFmtId="2" fontId="3" fillId="2" borderId="1" xfId="14" applyNumberFormat="1" applyFont="1" applyFill="1" applyBorder="1" applyAlignment="1">
      <alignment horizontal="right"/>
    </xf>
    <xf numFmtId="2" fontId="3" fillId="0" borderId="0" xfId="12" applyNumberFormat="1" applyFont="1"/>
    <xf numFmtId="0" fontId="14" fillId="0" borderId="0" xfId="14" applyFont="1" applyAlignment="1">
      <alignment horizontal="left"/>
    </xf>
    <xf numFmtId="0" fontId="11" fillId="0" borderId="0" xfId="14" applyFont="1" applyAlignment="1">
      <alignment horizontal="right"/>
    </xf>
    <xf numFmtId="2" fontId="4" fillId="2" borderId="0" xfId="14" applyNumberFormat="1" applyFont="1" applyFill="1" applyAlignment="1">
      <alignment horizontal="right"/>
    </xf>
    <xf numFmtId="1" fontId="4" fillId="2" borderId="0" xfId="14" applyNumberFormat="1" applyFont="1" applyFill="1" applyAlignment="1">
      <alignment horizontal="center"/>
    </xf>
    <xf numFmtId="2" fontId="16" fillId="0" borderId="0" xfId="14" applyNumberFormat="1" applyFont="1" applyAlignment="1">
      <alignment horizontal="right"/>
    </xf>
    <xf numFmtId="0" fontId="15" fillId="0" borderId="0" xfId="14" applyFont="1" applyAlignment="1">
      <alignment horizontal="left"/>
    </xf>
    <xf numFmtId="0" fontId="14" fillId="0" borderId="0" xfId="14" applyFont="1"/>
    <xf numFmtId="0" fontId="17" fillId="0" borderId="0" xfId="14" applyFont="1" applyAlignment="1">
      <alignment horizontal="left"/>
    </xf>
    <xf numFmtId="0" fontId="17" fillId="0" borderId="0" xfId="14" quotePrefix="1" applyFont="1" applyAlignment="1">
      <alignment horizontal="center"/>
    </xf>
    <xf numFmtId="0" fontId="4" fillId="0" borderId="0" xfId="14" applyFont="1" applyAlignment="1">
      <alignment horizontal="right"/>
    </xf>
    <xf numFmtId="2" fontId="4" fillId="0" borderId="0" xfId="14" applyNumberFormat="1" applyFont="1" applyAlignment="1">
      <alignment horizontal="center"/>
    </xf>
    <xf numFmtId="2" fontId="4" fillId="0" borderId="0" xfId="14" applyNumberFormat="1" applyFont="1" applyAlignment="1">
      <alignment horizontal="right"/>
    </xf>
    <xf numFmtId="1" fontId="4" fillId="0" borderId="0" xfId="14" applyNumberFormat="1" applyFont="1" applyAlignment="1">
      <alignment horizontal="center"/>
    </xf>
    <xf numFmtId="0" fontId="4" fillId="0" borderId="0" xfId="14" applyFont="1"/>
    <xf numFmtId="0" fontId="4" fillId="0" borderId="0" xfId="14" quotePrefix="1" applyFont="1" applyAlignment="1">
      <alignment horizontal="right"/>
    </xf>
    <xf numFmtId="168" fontId="4" fillId="0" borderId="0" xfId="14" applyNumberFormat="1" applyFont="1" applyAlignment="1">
      <alignment horizontal="right"/>
    </xf>
    <xf numFmtId="0" fontId="17" fillId="0" borderId="0" xfId="14" applyFont="1"/>
    <xf numFmtId="0" fontId="9" fillId="0" borderId="0" xfId="14" applyFont="1" applyAlignment="1">
      <alignment horizontal="right"/>
    </xf>
    <xf numFmtId="0" fontId="14" fillId="0" borderId="0" xfId="14" applyFont="1" applyAlignment="1">
      <alignment horizontal="center"/>
    </xf>
    <xf numFmtId="0" fontId="9" fillId="0" borderId="0" xfId="14" quotePrefix="1" applyFont="1" applyAlignment="1">
      <alignment horizontal="right"/>
    </xf>
    <xf numFmtId="2" fontId="9" fillId="0" borderId="0" xfId="14" quotePrefix="1" applyNumberFormat="1" applyFont="1" applyAlignment="1">
      <alignment horizontal="left"/>
    </xf>
    <xf numFmtId="0" fontId="18" fillId="0" borderId="0" xfId="0" applyFont="1"/>
    <xf numFmtId="0" fontId="14" fillId="0" borderId="0" xfId="6" applyFont="1" applyAlignment="1">
      <alignment horizontal="left"/>
    </xf>
    <xf numFmtId="2" fontId="4" fillId="0" borderId="0" xfId="10" quotePrefix="1" applyNumberFormat="1" applyFont="1" applyAlignment="1">
      <alignment horizontal="right"/>
    </xf>
    <xf numFmtId="0" fontId="4" fillId="0" borderId="0" xfId="10" quotePrefix="1" applyFont="1" applyAlignment="1">
      <alignment horizontal="left"/>
    </xf>
    <xf numFmtId="0" fontId="15" fillId="0" borderId="0" xfId="6" applyFont="1" applyAlignment="1">
      <alignment horizontal="left"/>
    </xf>
    <xf numFmtId="0" fontId="17" fillId="0" borderId="0" xfId="6" applyFont="1" applyAlignment="1">
      <alignment horizontal="left"/>
    </xf>
    <xf numFmtId="3" fontId="4" fillId="0" borderId="0" xfId="6" applyNumberFormat="1" applyFont="1" applyAlignment="1">
      <alignment horizontal="right"/>
    </xf>
    <xf numFmtId="3" fontId="4" fillId="0" borderId="0" xfId="6" applyNumberFormat="1" applyFont="1"/>
    <xf numFmtId="4" fontId="4" fillId="0" borderId="0" xfId="6" applyNumberFormat="1" applyFont="1" applyAlignment="1">
      <alignment horizontal="right"/>
    </xf>
    <xf numFmtId="0" fontId="17" fillId="0" borderId="0" xfId="10" applyFont="1" applyAlignment="1">
      <alignment horizontal="left"/>
    </xf>
    <xf numFmtId="2" fontId="3" fillId="2" borderId="5" xfId="14" applyNumberFormat="1" applyFont="1" applyFill="1" applyBorder="1" applyAlignment="1">
      <alignment horizontal="center" shrinkToFit="1"/>
    </xf>
    <xf numFmtId="2" fontId="3" fillId="2" borderId="8" xfId="14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right"/>
    </xf>
    <xf numFmtId="14" fontId="0" fillId="0" borderId="0" xfId="0" quotePrefix="1" applyNumberFormat="1" applyAlignment="1">
      <alignment horizontal="left"/>
    </xf>
    <xf numFmtId="3" fontId="4" fillId="0" borderId="0" xfId="14" applyNumberFormat="1" applyFont="1" applyAlignment="1">
      <alignment horizontal="right"/>
    </xf>
    <xf numFmtId="0" fontId="21" fillId="0" borderId="0" xfId="14" applyFont="1"/>
    <xf numFmtId="0" fontId="4" fillId="0" borderId="1" xfId="6" applyFont="1" applyBorder="1"/>
    <xf numFmtId="2" fontId="0" fillId="0" borderId="0" xfId="0" applyNumberFormat="1"/>
    <xf numFmtId="2" fontId="18" fillId="0" borderId="0" xfId="0" applyNumberFormat="1" applyFont="1" applyAlignment="1">
      <alignment horizontal="center"/>
    </xf>
    <xf numFmtId="2" fontId="18" fillId="0" borderId="0" xfId="0" applyNumberFormat="1" applyFont="1"/>
    <xf numFmtId="2" fontId="20" fillId="0" borderId="0" xfId="0" applyNumberFormat="1" applyFont="1" applyAlignment="1">
      <alignment horizontal="center"/>
    </xf>
    <xf numFmtId="2" fontId="20" fillId="0" borderId="0" xfId="0" applyNumberFormat="1" applyFont="1"/>
    <xf numFmtId="2" fontId="3" fillId="0" borderId="0" xfId="12" applyNumberFormat="1" applyFont="1" applyAlignment="1">
      <alignment horizontal="right"/>
    </xf>
    <xf numFmtId="2" fontId="7" fillId="0" borderId="0" xfId="12" applyNumberFormat="1" applyFont="1"/>
    <xf numFmtId="2" fontId="7" fillId="0" borderId="0" xfId="12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/>
    <xf numFmtId="2" fontId="24" fillId="0" borderId="0" xfId="12" applyNumberFormat="1" applyFont="1"/>
    <xf numFmtId="0" fontId="20" fillId="0" borderId="0" xfId="13" applyFont="1"/>
    <xf numFmtId="0" fontId="20" fillId="0" borderId="0" xfId="6" applyFont="1"/>
    <xf numFmtId="0" fontId="3" fillId="0" borderId="13" xfId="14" quotePrefix="1" applyFont="1" applyBorder="1" applyAlignment="1">
      <alignment horizontal="left"/>
    </xf>
    <xf numFmtId="0" fontId="12" fillId="0" borderId="0" xfId="0" applyFont="1" applyAlignment="1">
      <alignment horizontal="right" vertical="center"/>
    </xf>
    <xf numFmtId="0" fontId="17" fillId="0" borderId="0" xfId="11" applyFont="1"/>
    <xf numFmtId="0" fontId="0" fillId="0" borderId="0" xfId="0" applyAlignment="1">
      <alignment horizontal="center"/>
    </xf>
    <xf numFmtId="0" fontId="21" fillId="0" borderId="0" xfId="0" applyFont="1"/>
    <xf numFmtId="0" fontId="12" fillId="0" borderId="0" xfId="0" applyFont="1"/>
    <xf numFmtId="3" fontId="21" fillId="0" borderId="0" xfId="0" applyNumberFormat="1" applyFont="1"/>
    <xf numFmtId="2" fontId="3" fillId="0" borderId="0" xfId="4" applyNumberFormat="1" applyFont="1" applyAlignment="1">
      <alignment horizontal="right"/>
    </xf>
    <xf numFmtId="1" fontId="3" fillId="0" borderId="0" xfId="4" applyNumberFormat="1" applyFont="1" applyAlignment="1">
      <alignment horizontal="center"/>
    </xf>
    <xf numFmtId="168" fontId="3" fillId="0" borderId="0" xfId="4" applyNumberFormat="1" applyFont="1" applyAlignment="1">
      <alignment horizontal="right"/>
    </xf>
    <xf numFmtId="0" fontId="3" fillId="0" borderId="14" xfId="4" quotePrefix="1" applyFont="1" applyBorder="1" applyAlignment="1">
      <alignment horizontal="right"/>
    </xf>
    <xf numFmtId="0" fontId="3" fillId="0" borderId="15" xfId="4" quotePrefix="1" applyFont="1" applyBorder="1" applyAlignment="1">
      <alignment horizontal="right"/>
    </xf>
    <xf numFmtId="3" fontId="3" fillId="0" borderId="15" xfId="4" applyNumberFormat="1" applyFont="1" applyBorder="1" applyAlignment="1">
      <alignment horizontal="right"/>
    </xf>
    <xf numFmtId="0" fontId="12" fillId="0" borderId="15" xfId="4" applyFont="1" applyBorder="1"/>
    <xf numFmtId="2" fontId="3" fillId="0" borderId="15" xfId="4" applyNumberFormat="1" applyFont="1" applyBorder="1" applyAlignment="1">
      <alignment horizontal="right"/>
    </xf>
    <xf numFmtId="0" fontId="3" fillId="2" borderId="17" xfId="4" applyFont="1" applyFill="1" applyBorder="1" applyAlignment="1">
      <alignment horizontal="center"/>
    </xf>
    <xf numFmtId="0" fontId="3" fillId="2" borderId="18" xfId="4" applyFont="1" applyFill="1" applyBorder="1" applyAlignment="1">
      <alignment horizontal="center"/>
    </xf>
    <xf numFmtId="0" fontId="3" fillId="2" borderId="18" xfId="4" quotePrefix="1" applyFont="1" applyFill="1" applyBorder="1" applyAlignment="1">
      <alignment horizontal="right"/>
    </xf>
    <xf numFmtId="2" fontId="3" fillId="2" borderId="18" xfId="4" applyNumberFormat="1" applyFont="1" applyFill="1" applyBorder="1" applyAlignment="1">
      <alignment horizontal="center"/>
    </xf>
    <xf numFmtId="2" fontId="3" fillId="2" borderId="18" xfId="4" quotePrefix="1" applyNumberFormat="1" applyFont="1" applyFill="1" applyBorder="1" applyAlignment="1">
      <alignment horizontal="center"/>
    </xf>
    <xf numFmtId="0" fontId="17" fillId="0" borderId="0" xfId="4" quotePrefix="1" applyFont="1" applyAlignment="1">
      <alignment horizontal="left"/>
    </xf>
    <xf numFmtId="0" fontId="3" fillId="0" borderId="0" xfId="4" applyFont="1" applyAlignment="1">
      <alignment horizontal="right"/>
    </xf>
    <xf numFmtId="2" fontId="3" fillId="0" borderId="0" xfId="4" applyNumberFormat="1" applyFont="1" applyAlignment="1">
      <alignment horizontal="center"/>
    </xf>
    <xf numFmtId="0" fontId="3" fillId="0" borderId="0" xfId="4" quotePrefix="1" applyFont="1" applyAlignment="1">
      <alignment horizontal="right"/>
    </xf>
    <xf numFmtId="0" fontId="7" fillId="0" borderId="0" xfId="4" applyFont="1" applyAlignment="1">
      <alignment horizontal="right"/>
    </xf>
    <xf numFmtId="3" fontId="0" fillId="0" borderId="0" xfId="0" applyNumberFormat="1"/>
    <xf numFmtId="0" fontId="2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7" fillId="0" borderId="0" xfId="6" applyFont="1" applyAlignment="1">
      <alignment horizontal="left"/>
    </xf>
    <xf numFmtId="0" fontId="28" fillId="0" borderId="0" xfId="0" applyFont="1"/>
    <xf numFmtId="0" fontId="17" fillId="0" borderId="0" xfId="0" applyFont="1"/>
    <xf numFmtId="0" fontId="14" fillId="0" borderId="0" xfId="0" applyFont="1"/>
    <xf numFmtId="0" fontId="20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21" fillId="0" borderId="0" xfId="0" applyNumberFormat="1" applyFont="1"/>
    <xf numFmtId="2" fontId="21" fillId="0" borderId="0" xfId="0" applyNumberFormat="1" applyFont="1"/>
    <xf numFmtId="0" fontId="12" fillId="0" borderId="0" xfId="5" applyFont="1" applyAlignment="1">
      <alignment horizontal="center"/>
    </xf>
    <xf numFmtId="0" fontId="12" fillId="2" borderId="0" xfId="5" applyFont="1" applyFill="1" applyAlignment="1">
      <alignment horizontal="center"/>
    </xf>
    <xf numFmtId="0" fontId="12" fillId="0" borderId="26" xfId="5" applyFont="1" applyBorder="1"/>
    <xf numFmtId="0" fontId="12" fillId="2" borderId="27" xfId="5" applyFont="1" applyFill="1" applyBorder="1" applyAlignment="1">
      <alignment horizontal="left"/>
    </xf>
    <xf numFmtId="0" fontId="12" fillId="2" borderId="28" xfId="5" applyFont="1" applyFill="1" applyBorder="1" applyAlignment="1">
      <alignment horizontal="left"/>
    </xf>
    <xf numFmtId="0" fontId="21" fillId="0" borderId="29" xfId="5" applyFont="1" applyBorder="1" applyAlignment="1">
      <alignment horizontal="center"/>
    </xf>
    <xf numFmtId="0" fontId="21" fillId="0" borderId="21" xfId="5" applyFont="1" applyBorder="1" applyAlignment="1">
      <alignment horizontal="center"/>
    </xf>
    <xf numFmtId="0" fontId="21" fillId="2" borderId="8" xfId="5" applyFont="1" applyFill="1" applyBorder="1" applyAlignment="1">
      <alignment horizontal="center"/>
    </xf>
    <xf numFmtId="0" fontId="12" fillId="2" borderId="10" xfId="5" applyFont="1" applyFill="1" applyBorder="1" applyAlignment="1">
      <alignment horizontal="left" wrapText="1"/>
    </xf>
    <xf numFmtId="0" fontId="17" fillId="0" borderId="0" xfId="5" applyFont="1"/>
    <xf numFmtId="2" fontId="4" fillId="2" borderId="1" xfId="14" applyNumberFormat="1" applyFont="1" applyFill="1" applyBorder="1" applyAlignment="1">
      <alignment horizontal="center"/>
    </xf>
    <xf numFmtId="2" fontId="31" fillId="0" borderId="0" xfId="12" applyNumberFormat="1" applyFont="1"/>
    <xf numFmtId="0" fontId="0" fillId="0" borderId="0" xfId="0" applyAlignment="1">
      <alignment horizontal="centerContinuous"/>
    </xf>
    <xf numFmtId="174" fontId="12" fillId="0" borderId="0" xfId="0" applyNumberFormat="1" applyFont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168" fontId="12" fillId="0" borderId="0" xfId="0" applyNumberFormat="1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8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8" fontId="12" fillId="0" borderId="12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3" xfId="5" quotePrefix="1" applyFont="1" applyBorder="1" applyAlignment="1">
      <alignment horizontal="left"/>
    </xf>
    <xf numFmtId="2" fontId="21" fillId="0" borderId="38" xfId="5" applyNumberFormat="1" applyFont="1" applyBorder="1" applyAlignment="1">
      <alignment horizontal="center" vertical="center"/>
    </xf>
    <xf numFmtId="2" fontId="21" fillId="0" borderId="39" xfId="5" applyNumberFormat="1" applyFont="1" applyBorder="1" applyAlignment="1">
      <alignment horizontal="center"/>
    </xf>
    <xf numFmtId="2" fontId="21" fillId="0" borderId="40" xfId="5" applyNumberFormat="1" applyFont="1" applyBorder="1" applyAlignment="1">
      <alignment horizontal="center"/>
    </xf>
    <xf numFmtId="0" fontId="21" fillId="2" borderId="7" xfId="5" applyFont="1" applyFill="1" applyBorder="1" applyAlignment="1">
      <alignment horizontal="center"/>
    </xf>
    <xf numFmtId="0" fontId="21" fillId="2" borderId="11" xfId="5" applyFont="1" applyFill="1" applyBorder="1" applyAlignment="1">
      <alignment horizontal="center"/>
    </xf>
    <xf numFmtId="0" fontId="49" fillId="0" borderId="0" xfId="6" applyFont="1" applyAlignment="1">
      <alignment horizontal="right"/>
    </xf>
    <xf numFmtId="0" fontId="49" fillId="0" borderId="0" xfId="6" applyFont="1"/>
    <xf numFmtId="164" fontId="49" fillId="0" borderId="0" xfId="6" applyNumberFormat="1" applyFont="1" applyAlignment="1">
      <alignment horizontal="right"/>
    </xf>
    <xf numFmtId="0" fontId="49" fillId="0" borderId="0" xfId="6" quotePrefix="1" applyFont="1" applyAlignment="1">
      <alignment horizontal="left"/>
    </xf>
    <xf numFmtId="171" fontId="12" fillId="0" borderId="6" xfId="0" applyNumberFormat="1" applyFont="1" applyBorder="1" applyAlignment="1">
      <alignment horizontal="center" vertical="center"/>
    </xf>
    <xf numFmtId="0" fontId="33" fillId="0" borderId="0" xfId="0" applyFont="1"/>
    <xf numFmtId="0" fontId="50" fillId="0" borderId="0" xfId="0" applyFont="1"/>
    <xf numFmtId="0" fontId="51" fillId="0" borderId="0" xfId="0" applyFont="1"/>
    <xf numFmtId="0" fontId="52" fillId="0" borderId="0" xfId="6" applyFont="1"/>
    <xf numFmtId="2" fontId="52" fillId="0" borderId="0" xfId="6" applyNumberFormat="1" applyFont="1"/>
    <xf numFmtId="2" fontId="52" fillId="0" borderId="0" xfId="10" quotePrefix="1" applyNumberFormat="1" applyFont="1" applyAlignment="1">
      <alignment horizontal="right"/>
    </xf>
    <xf numFmtId="2" fontId="52" fillId="0" borderId="1" xfId="10" quotePrefix="1" applyNumberFormat="1" applyFont="1" applyBorder="1" applyAlignment="1">
      <alignment horizontal="right"/>
    </xf>
    <xf numFmtId="0" fontId="3" fillId="0" borderId="0" xfId="6" applyFont="1" applyAlignment="1">
      <alignment wrapText="1"/>
    </xf>
    <xf numFmtId="2" fontId="53" fillId="0" borderId="0" xfId="6" applyNumberFormat="1" applyFont="1"/>
    <xf numFmtId="2" fontId="12" fillId="0" borderId="0" xfId="6" applyNumberFormat="1" applyFont="1"/>
    <xf numFmtId="0" fontId="34" fillId="0" borderId="0" xfId="6" applyFont="1"/>
    <xf numFmtId="0" fontId="3" fillId="0" borderId="4" xfId="14" applyFont="1" applyBorder="1" applyAlignment="1">
      <alignment horizontal="right"/>
    </xf>
    <xf numFmtId="2" fontId="3" fillId="2" borderId="4" xfId="14" applyNumberFormat="1" applyFont="1" applyFill="1" applyBorder="1" applyAlignment="1">
      <alignment horizontal="right"/>
    </xf>
    <xf numFmtId="0" fontId="3" fillId="0" borderId="5" xfId="14" applyFont="1" applyBorder="1" applyAlignment="1">
      <alignment horizontal="right"/>
    </xf>
    <xf numFmtId="0" fontId="3" fillId="0" borderId="6" xfId="14" applyFont="1" applyBorder="1" applyAlignment="1">
      <alignment horizontal="right"/>
    </xf>
    <xf numFmtId="2" fontId="3" fillId="2" borderId="6" xfId="14" applyNumberFormat="1" applyFont="1" applyFill="1" applyBorder="1" applyAlignment="1">
      <alignment horizontal="right"/>
    </xf>
    <xf numFmtId="2" fontId="3" fillId="0" borderId="6" xfId="14" applyNumberFormat="1" applyFont="1" applyBorder="1"/>
    <xf numFmtId="2" fontId="3" fillId="2" borderId="6" xfId="14" quotePrefix="1" applyNumberFormat="1" applyFont="1" applyFill="1" applyBorder="1" applyAlignment="1">
      <alignment horizontal="right"/>
    </xf>
    <xf numFmtId="168" fontId="3" fillId="2" borderId="6" xfId="14" applyNumberFormat="1" applyFont="1" applyFill="1" applyBorder="1" applyAlignment="1">
      <alignment horizontal="right"/>
    </xf>
    <xf numFmtId="1" fontId="3" fillId="2" borderId="6" xfId="14" applyNumberFormat="1" applyFont="1" applyFill="1" applyBorder="1" applyAlignment="1">
      <alignment horizontal="right"/>
    </xf>
    <xf numFmtId="165" fontId="3" fillId="2" borderId="6" xfId="14" applyNumberFormat="1" applyFont="1" applyFill="1" applyBorder="1" applyAlignment="1">
      <alignment horizontal="right"/>
    </xf>
    <xf numFmtId="0" fontId="3" fillId="2" borderId="6" xfId="14" applyFont="1" applyFill="1" applyBorder="1" applyAlignment="1">
      <alignment horizontal="right"/>
    </xf>
    <xf numFmtId="0" fontId="4" fillId="0" borderId="4" xfId="14" applyFont="1" applyBorder="1" applyAlignment="1">
      <alignment horizontal="right"/>
    </xf>
    <xf numFmtId="0" fontId="4" fillId="0" borderId="5" xfId="14" applyFont="1" applyBorder="1" applyAlignment="1">
      <alignment horizontal="right"/>
    </xf>
    <xf numFmtId="0" fontId="3" fillId="0" borderId="4" xfId="14" quotePrefix="1" applyFont="1" applyBorder="1" applyAlignment="1">
      <alignment horizontal="center"/>
    </xf>
    <xf numFmtId="0" fontId="3" fillId="0" borderId="6" xfId="14" applyFont="1" applyBorder="1" applyAlignment="1">
      <alignment horizontal="center"/>
    </xf>
    <xf numFmtId="0" fontId="3" fillId="0" borderId="7" xfId="14" applyFont="1" applyBorder="1" applyAlignment="1">
      <alignment horizontal="center"/>
    </xf>
    <xf numFmtId="173" fontId="3" fillId="0" borderId="4" xfId="14" applyNumberFormat="1" applyFont="1" applyBorder="1" applyAlignment="1">
      <alignment horizontal="right"/>
    </xf>
    <xf numFmtId="173" fontId="3" fillId="0" borderId="6" xfId="14" applyNumberFormat="1" applyFont="1" applyBorder="1" applyAlignment="1">
      <alignment horizontal="right"/>
    </xf>
    <xf numFmtId="173" fontId="4" fillId="0" borderId="4" xfId="14" applyNumberFormat="1" applyFont="1" applyBorder="1" applyAlignment="1">
      <alignment horizontal="right"/>
    </xf>
    <xf numFmtId="173" fontId="4" fillId="0" borderId="6" xfId="14" applyNumberFormat="1" applyFont="1" applyBorder="1" applyAlignment="1">
      <alignment horizontal="right"/>
    </xf>
    <xf numFmtId="2" fontId="3" fillId="0" borderId="2" xfId="14" applyNumberFormat="1" applyFont="1" applyBorder="1" applyAlignment="1">
      <alignment horizontal="right"/>
    </xf>
    <xf numFmtId="2" fontId="3" fillId="0" borderId="5" xfId="14" applyNumberFormat="1" applyFont="1" applyBorder="1" applyAlignment="1">
      <alignment horizontal="right"/>
    </xf>
    <xf numFmtId="2" fontId="4" fillId="0" borderId="1" xfId="14" applyNumberFormat="1" applyFont="1" applyBorder="1" applyAlignment="1">
      <alignment horizontal="right"/>
    </xf>
    <xf numFmtId="2" fontId="4" fillId="0" borderId="8" xfId="14" applyNumberFormat="1" applyFont="1" applyBorder="1" applyAlignment="1">
      <alignment horizontal="right"/>
    </xf>
    <xf numFmtId="2" fontId="31" fillId="2" borderId="2" xfId="14" quotePrefix="1" applyNumberFormat="1" applyFont="1" applyFill="1" applyBorder="1" applyAlignment="1">
      <alignment horizontal="right"/>
    </xf>
    <xf numFmtId="2" fontId="31" fillId="2" borderId="2" xfId="14" quotePrefix="1" applyNumberFormat="1" applyFont="1" applyFill="1" applyBorder="1" applyAlignment="1">
      <alignment horizontal="center"/>
    </xf>
    <xf numFmtId="2" fontId="4" fillId="2" borderId="1" xfId="14" applyNumberFormat="1" applyFont="1" applyFill="1" applyBorder="1" applyAlignment="1">
      <alignment horizontal="right"/>
    </xf>
    <xf numFmtId="0" fontId="35" fillId="4" borderId="41" xfId="0" applyFont="1" applyFill="1" applyBorder="1" applyAlignment="1">
      <alignment horizontal="center" wrapText="1"/>
    </xf>
    <xf numFmtId="0" fontId="35" fillId="4" borderId="42" xfId="0" applyFont="1" applyFill="1" applyBorder="1" applyAlignment="1">
      <alignment horizontal="centerContinuous" wrapText="1"/>
    </xf>
    <xf numFmtId="0" fontId="0" fillId="4" borderId="43" xfId="0" applyFill="1" applyBorder="1" applyAlignment="1">
      <alignment horizontal="centerContinuous"/>
    </xf>
    <xf numFmtId="0" fontId="0" fillId="4" borderId="44" xfId="0" applyFill="1" applyBorder="1" applyAlignment="1">
      <alignment horizontal="centerContinuous"/>
    </xf>
    <xf numFmtId="0" fontId="35" fillId="4" borderId="44" xfId="0" applyFont="1" applyFill="1" applyBorder="1" applyAlignment="1">
      <alignment horizontal="centerContinuous" wrapText="1"/>
    </xf>
    <xf numFmtId="0" fontId="35" fillId="4" borderId="43" xfId="0" applyFont="1" applyFill="1" applyBorder="1" applyAlignment="1">
      <alignment horizontal="centerContinuous" wrapText="1"/>
    </xf>
    <xf numFmtId="0" fontId="35" fillId="4" borderId="45" xfId="0" applyFont="1" applyFill="1" applyBorder="1" applyAlignment="1">
      <alignment horizontal="centerContinuous" wrapText="1"/>
    </xf>
    <xf numFmtId="0" fontId="35" fillId="4" borderId="43" xfId="0" applyFont="1" applyFill="1" applyBorder="1" applyAlignment="1">
      <alignment horizontal="center" wrapText="1"/>
    </xf>
    <xf numFmtId="0" fontId="35" fillId="4" borderId="46" xfId="0" applyFont="1" applyFill="1" applyBorder="1" applyAlignment="1">
      <alignment horizontal="center" wrapText="1"/>
    </xf>
    <xf numFmtId="0" fontId="37" fillId="0" borderId="47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wrapText="1"/>
    </xf>
    <xf numFmtId="3" fontId="36" fillId="0" borderId="9" xfId="0" applyNumberFormat="1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165" fontId="36" fillId="0" borderId="9" xfId="0" applyNumberFormat="1" applyFont="1" applyBorder="1" applyAlignment="1">
      <alignment horizontal="center" vertical="center" wrapText="1"/>
    </xf>
    <xf numFmtId="2" fontId="36" fillId="2" borderId="9" xfId="0" applyNumberFormat="1" applyFont="1" applyFill="1" applyBorder="1" applyAlignment="1">
      <alignment horizontal="center" vertical="center" wrapText="1"/>
    </xf>
    <xf numFmtId="168" fontId="36" fillId="2" borderId="9" xfId="0" applyNumberFormat="1" applyFont="1" applyFill="1" applyBorder="1" applyAlignment="1">
      <alignment horizontal="center" vertical="center" wrapText="1"/>
    </xf>
    <xf numFmtId="2" fontId="36" fillId="2" borderId="48" xfId="0" applyNumberFormat="1" applyFont="1" applyFill="1" applyBorder="1" applyAlignment="1">
      <alignment horizontal="center" vertical="center" wrapText="1"/>
    </xf>
    <xf numFmtId="165" fontId="36" fillId="0" borderId="8" xfId="0" applyNumberFormat="1" applyFont="1" applyBorder="1" applyAlignment="1">
      <alignment horizontal="center" vertical="center" wrapText="1"/>
    </xf>
    <xf numFmtId="2" fontId="36" fillId="0" borderId="48" xfId="0" applyNumberFormat="1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horizontal="center" vertical="center" wrapText="1"/>
    </xf>
    <xf numFmtId="168" fontId="36" fillId="0" borderId="48" xfId="0" applyNumberFormat="1" applyFont="1" applyBorder="1" applyAlignment="1">
      <alignment horizontal="center" vertical="center" wrapText="1"/>
    </xf>
    <xf numFmtId="172" fontId="36" fillId="0" borderId="49" xfId="0" applyNumberFormat="1" applyFont="1" applyBorder="1" applyAlignment="1">
      <alignment horizontal="center" vertical="center" wrapText="1"/>
    </xf>
    <xf numFmtId="0" fontId="36" fillId="0" borderId="50" xfId="0" applyFont="1" applyBorder="1" applyAlignment="1">
      <alignment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2" fontId="36" fillId="0" borderId="10" xfId="0" applyNumberFormat="1" applyFont="1" applyBorder="1" applyAlignment="1">
      <alignment horizontal="center" vertical="center" wrapText="1"/>
    </xf>
    <xf numFmtId="2" fontId="36" fillId="0" borderId="51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1" fontId="35" fillId="0" borderId="10" xfId="0" applyNumberFormat="1" applyFont="1" applyBorder="1" applyAlignment="1">
      <alignment horizontal="center" vertical="center" wrapText="1"/>
    </xf>
    <xf numFmtId="165" fontId="35" fillId="0" borderId="10" xfId="0" applyNumberFormat="1" applyFont="1" applyBorder="1" applyAlignment="1">
      <alignment vertical="center" wrapText="1"/>
    </xf>
    <xf numFmtId="164" fontId="35" fillId="0" borderId="10" xfId="0" applyNumberFormat="1" applyFont="1" applyBorder="1" applyAlignment="1">
      <alignment horizontal="center" vertical="center" wrapText="1"/>
    </xf>
    <xf numFmtId="175" fontId="35" fillId="0" borderId="10" xfId="0" applyNumberFormat="1" applyFont="1" applyBorder="1" applyAlignment="1">
      <alignment horizontal="center" vertical="center" wrapText="1"/>
    </xf>
    <xf numFmtId="4" fontId="35" fillId="0" borderId="10" xfId="0" applyNumberFormat="1" applyFont="1" applyBorder="1" applyAlignment="1">
      <alignment horizontal="center" vertical="center" wrapText="1"/>
    </xf>
    <xf numFmtId="164" fontId="35" fillId="0" borderId="52" xfId="0" applyNumberFormat="1" applyFont="1" applyBorder="1" applyAlignment="1">
      <alignment horizontal="center" vertical="center" wrapText="1"/>
    </xf>
    <xf numFmtId="164" fontId="35" fillId="0" borderId="53" xfId="0" applyNumberFormat="1" applyFont="1" applyBorder="1" applyAlignment="1">
      <alignment horizontal="center" vertical="center" wrapText="1"/>
    </xf>
    <xf numFmtId="2" fontId="35" fillId="0" borderId="52" xfId="0" applyNumberFormat="1" applyFont="1" applyBorder="1" applyAlignment="1">
      <alignment horizontal="center" vertical="center" wrapText="1"/>
    </xf>
    <xf numFmtId="2" fontId="35" fillId="0" borderId="53" xfId="0" applyNumberFormat="1" applyFont="1" applyBorder="1" applyAlignment="1">
      <alignment horizontal="center" vertical="center" wrapText="1"/>
    </xf>
    <xf numFmtId="2" fontId="35" fillId="0" borderId="10" xfId="0" applyNumberFormat="1" applyFont="1" applyBorder="1" applyAlignment="1">
      <alignment horizontal="center" vertical="center" wrapText="1"/>
    </xf>
    <xf numFmtId="165" fontId="35" fillId="0" borderId="10" xfId="0" applyNumberFormat="1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5" fillId="0" borderId="50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165" fontId="35" fillId="0" borderId="52" xfId="0" applyNumberFormat="1" applyFont="1" applyBorder="1" applyAlignment="1">
      <alignment horizontal="center" vertical="center" wrapText="1"/>
    </xf>
    <xf numFmtId="165" fontId="35" fillId="0" borderId="53" xfId="0" applyNumberFormat="1" applyFont="1" applyBorder="1" applyAlignment="1">
      <alignment horizontal="center" vertical="center" wrapText="1"/>
    </xf>
    <xf numFmtId="165" fontId="35" fillId="0" borderId="54" xfId="0" applyNumberFormat="1" applyFont="1" applyBorder="1" applyAlignment="1">
      <alignment horizontal="center" vertical="center" wrapText="1"/>
    </xf>
    <xf numFmtId="0" fontId="36" fillId="0" borderId="55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165" fontId="35" fillId="0" borderId="6" xfId="0" applyNumberFormat="1" applyFont="1" applyBorder="1" applyAlignment="1">
      <alignment vertical="center" wrapText="1"/>
    </xf>
    <xf numFmtId="165" fontId="35" fillId="0" borderId="6" xfId="0" applyNumberFormat="1" applyFont="1" applyBorder="1" applyAlignment="1">
      <alignment horizontal="center" vertical="center" wrapText="1"/>
    </xf>
    <xf numFmtId="165" fontId="35" fillId="0" borderId="56" xfId="0" applyNumberFormat="1" applyFont="1" applyBorder="1" applyAlignment="1">
      <alignment horizontal="center" vertical="center" wrapText="1"/>
    </xf>
    <xf numFmtId="165" fontId="35" fillId="0" borderId="5" xfId="0" applyNumberFormat="1" applyFont="1" applyBorder="1" applyAlignment="1">
      <alignment horizontal="center" vertical="center" wrapText="1"/>
    </xf>
    <xf numFmtId="165" fontId="35" fillId="0" borderId="4" xfId="0" applyNumberFormat="1" applyFont="1" applyBorder="1" applyAlignment="1">
      <alignment horizontal="center" vertical="center" wrapText="1"/>
    </xf>
    <xf numFmtId="165" fontId="35" fillId="0" borderId="57" xfId="0" applyNumberFormat="1" applyFont="1" applyBorder="1" applyAlignment="1">
      <alignment horizontal="center" vertical="center" wrapText="1"/>
    </xf>
    <xf numFmtId="165" fontId="35" fillId="0" borderId="58" xfId="0" applyNumberFormat="1" applyFont="1" applyBorder="1" applyAlignment="1">
      <alignment horizontal="center" vertical="center" wrapText="1"/>
    </xf>
    <xf numFmtId="0" fontId="0" fillId="0" borderId="59" xfId="0" applyBorder="1"/>
    <xf numFmtId="0" fontId="35" fillId="0" borderId="59" xfId="0" applyFont="1" applyBorder="1" applyAlignment="1">
      <alignment vertical="center" wrapText="1"/>
    </xf>
    <xf numFmtId="165" fontId="35" fillId="0" borderId="59" xfId="0" applyNumberFormat="1" applyFont="1" applyBorder="1" applyAlignment="1">
      <alignment vertical="center" wrapText="1"/>
    </xf>
    <xf numFmtId="2" fontId="35" fillId="0" borderId="59" xfId="0" applyNumberFormat="1" applyFont="1" applyBorder="1" applyAlignment="1">
      <alignment vertical="center" wrapText="1"/>
    </xf>
    <xf numFmtId="165" fontId="35" fillId="0" borderId="59" xfId="0" applyNumberFormat="1" applyFont="1" applyBorder="1" applyAlignment="1">
      <alignment horizontal="center" vertical="center" wrapText="1"/>
    </xf>
    <xf numFmtId="2" fontId="35" fillId="0" borderId="59" xfId="0" applyNumberFormat="1" applyFont="1" applyBorder="1" applyAlignment="1">
      <alignment horizontal="center" vertical="center" wrapText="1"/>
    </xf>
    <xf numFmtId="164" fontId="35" fillId="0" borderId="59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5" fillId="0" borderId="2" xfId="0" applyFont="1" applyBorder="1" applyAlignment="1">
      <alignment horizontal="left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wrapText="1"/>
    </xf>
    <xf numFmtId="0" fontId="36" fillId="0" borderId="5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left"/>
    </xf>
    <xf numFmtId="0" fontId="36" fillId="0" borderId="7" xfId="0" applyFont="1" applyBorder="1" applyAlignment="1">
      <alignment vertical="center" wrapText="1"/>
    </xf>
    <xf numFmtId="0" fontId="38" fillId="0" borderId="0" xfId="0" applyFont="1" applyAlignment="1">
      <alignment horizontal="left"/>
    </xf>
    <xf numFmtId="0" fontId="36" fillId="0" borderId="12" xfId="0" applyFont="1" applyBorder="1" applyAlignment="1">
      <alignment vertical="center" wrapText="1"/>
    </xf>
    <xf numFmtId="0" fontId="36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left"/>
    </xf>
    <xf numFmtId="0" fontId="36" fillId="0" borderId="1" xfId="0" applyFont="1" applyBorder="1" applyAlignment="1">
      <alignment vertical="center" wrapText="1"/>
    </xf>
    <xf numFmtId="0" fontId="35" fillId="0" borderId="12" xfId="0" applyFont="1" applyBorder="1" applyAlignment="1">
      <alignment horizontal="left"/>
    </xf>
    <xf numFmtId="0" fontId="36" fillId="0" borderId="8" xfId="0" applyFont="1" applyBorder="1" applyAlignment="1">
      <alignment vertical="center" wrapText="1"/>
    </xf>
    <xf numFmtId="0" fontId="39" fillId="0" borderId="7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40" fillId="0" borderId="9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6" fillId="0" borderId="7" xfId="0" applyFont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6" fillId="0" borderId="9" xfId="0" applyFont="1" applyBorder="1" applyAlignment="1">
      <alignment vertical="center" wrapText="1"/>
    </xf>
    <xf numFmtId="11" fontId="40" fillId="0" borderId="9" xfId="0" applyNumberFormat="1" applyFont="1" applyBorder="1" applyAlignment="1">
      <alignment horizontal="center" vertical="center" wrapText="1"/>
    </xf>
    <xf numFmtId="11" fontId="40" fillId="0" borderId="11" xfId="0" applyNumberFormat="1" applyFont="1" applyBorder="1" applyAlignment="1">
      <alignment horizontal="center" vertical="center" wrapText="1"/>
    </xf>
    <xf numFmtId="11" fontId="40" fillId="0" borderId="0" xfId="0" applyNumberFormat="1" applyFont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65" fontId="40" fillId="0" borderId="9" xfId="0" applyNumberFormat="1" applyFont="1" applyBorder="1" applyAlignment="1">
      <alignment horizontal="center" vertical="center" wrapText="1"/>
    </xf>
    <xf numFmtId="168" fontId="34" fillId="0" borderId="10" xfId="0" applyNumberFormat="1" applyFont="1" applyBorder="1" applyAlignment="1">
      <alignment horizontal="center"/>
    </xf>
    <xf numFmtId="172" fontId="34" fillId="0" borderId="10" xfId="0" applyNumberFormat="1" applyFont="1" applyBorder="1" applyAlignment="1">
      <alignment horizontal="center"/>
    </xf>
    <xf numFmtId="168" fontId="34" fillId="0" borderId="0" xfId="0" applyNumberFormat="1" applyFont="1" applyAlignment="1">
      <alignment horizontal="center"/>
    </xf>
    <xf numFmtId="0" fontId="41" fillId="0" borderId="0" xfId="0" quotePrefix="1" applyFont="1"/>
    <xf numFmtId="0" fontId="41" fillId="0" borderId="0" xfId="0" applyFont="1"/>
    <xf numFmtId="0" fontId="41" fillId="0" borderId="0" xfId="0" quotePrefix="1" applyFont="1" applyAlignment="1">
      <alignment horizontal="left"/>
    </xf>
    <xf numFmtId="0" fontId="33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42" fillId="0" borderId="0" xfId="0" applyFont="1"/>
    <xf numFmtId="0" fontId="12" fillId="2" borderId="60" xfId="5" applyFont="1" applyFill="1" applyBorder="1" applyAlignment="1">
      <alignment horizontal="left" wrapText="1"/>
    </xf>
    <xf numFmtId="0" fontId="0" fillId="0" borderId="61" xfId="5" quotePrefix="1" applyFont="1" applyBorder="1" applyAlignment="1">
      <alignment horizontal="left"/>
    </xf>
    <xf numFmtId="0" fontId="12" fillId="2" borderId="23" xfId="5" applyFont="1" applyFill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 wrapText="1"/>
    </xf>
    <xf numFmtId="0" fontId="12" fillId="2" borderId="10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2" fillId="2" borderId="10" xfId="5" applyFont="1" applyFill="1" applyBorder="1" applyAlignment="1">
      <alignment horizontal="center" wrapText="1"/>
    </xf>
    <xf numFmtId="0" fontId="44" fillId="0" borderId="0" xfId="0" applyFont="1"/>
    <xf numFmtId="0" fontId="54" fillId="0" borderId="0" xfId="0" applyFont="1" applyAlignment="1">
      <alignment horizontal="left" vertical="center" indent="4"/>
    </xf>
    <xf numFmtId="0" fontId="35" fillId="0" borderId="0" xfId="0" applyFont="1" applyAlignment="1">
      <alignment vertical="center"/>
    </xf>
    <xf numFmtId="0" fontId="12" fillId="0" borderId="23" xfId="5" quotePrefix="1" applyFont="1" applyBorder="1" applyAlignment="1">
      <alignment horizontal="left"/>
    </xf>
    <xf numFmtId="0" fontId="12" fillId="0" borderId="23" xfId="5" quotePrefix="1" applyFont="1" applyBorder="1" applyAlignment="1">
      <alignment horizontal="center" vertical="center"/>
    </xf>
    <xf numFmtId="0" fontId="0" fillId="0" borderId="23" xfId="5" quotePrefix="1" applyFont="1" applyBorder="1" applyAlignment="1">
      <alignment horizontal="center" vertical="center"/>
    </xf>
    <xf numFmtId="0" fontId="12" fillId="0" borderId="23" xfId="5" quotePrefix="1" applyFont="1" applyBorder="1" applyAlignment="1">
      <alignment horizontal="center"/>
    </xf>
    <xf numFmtId="0" fontId="12" fillId="0" borderId="29" xfId="5" quotePrefix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4" fontId="12" fillId="0" borderId="0" xfId="0" quotePrefix="1" applyNumberFormat="1" applyFont="1" applyAlignment="1">
      <alignment horizontal="left"/>
    </xf>
    <xf numFmtId="0" fontId="46" fillId="0" borderId="0" xfId="7" applyFont="1" applyAlignment="1">
      <alignment horizontal="left"/>
    </xf>
    <xf numFmtId="0" fontId="2" fillId="0" borderId="0" xfId="8"/>
    <xf numFmtId="0" fontId="46" fillId="0" borderId="0" xfId="8" applyFont="1"/>
    <xf numFmtId="0" fontId="25" fillId="0" borderId="0" xfId="8" applyFont="1"/>
    <xf numFmtId="0" fontId="2" fillId="0" borderId="0" xfId="8" applyAlignment="1">
      <alignment horizontal="left" indent="1"/>
    </xf>
    <xf numFmtId="0" fontId="2" fillId="0" borderId="0" xfId="0" applyFont="1"/>
    <xf numFmtId="167" fontId="2" fillId="0" borderId="0" xfId="8" applyNumberForma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0" fillId="9" borderId="0" xfId="0" applyNumberFormat="1" applyFill="1" applyAlignment="1">
      <alignment horizontal="center"/>
    </xf>
    <xf numFmtId="0" fontId="21" fillId="0" borderId="75" xfId="5" applyFont="1" applyBorder="1" applyAlignment="1">
      <alignment horizontal="centerContinuous"/>
    </xf>
    <xf numFmtId="0" fontId="21" fillId="0" borderId="53" xfId="5" applyFont="1" applyBorder="1" applyAlignment="1">
      <alignment horizontal="centerContinuous"/>
    </xf>
    <xf numFmtId="0" fontId="21" fillId="0" borderId="9" xfId="5" applyFont="1" applyBorder="1" applyAlignment="1">
      <alignment horizontal="center"/>
    </xf>
    <xf numFmtId="0" fontId="21" fillId="0" borderId="1" xfId="5" applyFont="1" applyBorder="1" applyAlignment="1">
      <alignment horizontal="center"/>
    </xf>
    <xf numFmtId="2" fontId="12" fillId="0" borderId="10" xfId="5" applyNumberFormat="1" applyFont="1" applyBorder="1" applyAlignment="1">
      <alignment horizontal="center"/>
    </xf>
    <xf numFmtId="2" fontId="12" fillId="0" borderId="10" xfId="5" applyNumberFormat="1" applyFont="1" applyBorder="1" applyAlignment="1">
      <alignment horizontal="center" vertical="center"/>
    </xf>
    <xf numFmtId="2" fontId="12" fillId="0" borderId="6" xfId="5" applyNumberFormat="1" applyFont="1" applyBorder="1" applyAlignment="1">
      <alignment horizontal="center" vertical="center"/>
    </xf>
    <xf numFmtId="2" fontId="12" fillId="0" borderId="60" xfId="5" applyNumberFormat="1" applyFont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3" fontId="18" fillId="0" borderId="0" xfId="0" applyNumberFormat="1" applyFont="1" applyAlignment="1">
      <alignment horizontal="center"/>
    </xf>
    <xf numFmtId="0" fontId="21" fillId="0" borderId="53" xfId="5" quotePrefix="1" applyFont="1" applyBorder="1" applyAlignment="1">
      <alignment horizontal="centerContinuous"/>
    </xf>
    <xf numFmtId="0" fontId="21" fillId="0" borderId="75" xfId="5" quotePrefix="1" applyFont="1" applyBorder="1" applyAlignment="1">
      <alignment horizontal="centerContinuous"/>
    </xf>
    <xf numFmtId="0" fontId="21" fillId="0" borderId="3" xfId="5" applyFont="1" applyBorder="1" applyAlignment="1">
      <alignment horizontal="centerContinuous"/>
    </xf>
    <xf numFmtId="0" fontId="21" fillId="0" borderId="76" xfId="5" applyFont="1" applyBorder="1" applyAlignment="1">
      <alignment horizontal="centerContinuous"/>
    </xf>
    <xf numFmtId="0" fontId="21" fillId="0" borderId="10" xfId="5" applyFont="1" applyBorder="1" applyAlignment="1">
      <alignment horizontal="center"/>
    </xf>
    <xf numFmtId="0" fontId="21" fillId="0" borderId="75" xfId="5" applyFont="1" applyBorder="1" applyAlignment="1">
      <alignment horizontal="center"/>
    </xf>
    <xf numFmtId="0" fontId="21" fillId="0" borderId="62" xfId="5" applyFont="1" applyBorder="1" applyAlignment="1">
      <alignment horizontal="center"/>
    </xf>
    <xf numFmtId="2" fontId="12" fillId="0" borderId="62" xfId="5" applyNumberFormat="1" applyFont="1" applyBorder="1" applyAlignment="1">
      <alignment horizontal="center"/>
    </xf>
    <xf numFmtId="2" fontId="12" fillId="0" borderId="62" xfId="5" applyNumberFormat="1" applyFont="1" applyBorder="1" applyAlignment="1">
      <alignment horizontal="center" vertical="center"/>
    </xf>
    <xf numFmtId="2" fontId="12" fillId="0" borderId="4" xfId="5" applyNumberFormat="1" applyFont="1" applyBorder="1" applyAlignment="1">
      <alignment horizontal="center" vertical="center"/>
    </xf>
    <xf numFmtId="2" fontId="12" fillId="0" borderId="77" xfId="5" applyNumberFormat="1" applyFont="1" applyBorder="1" applyAlignment="1">
      <alignment horizontal="center" vertical="center"/>
    </xf>
    <xf numFmtId="2" fontId="12" fillId="0" borderId="78" xfId="5" applyNumberFormat="1" applyFont="1" applyBorder="1" applyAlignment="1">
      <alignment horizontal="center"/>
    </xf>
    <xf numFmtId="0" fontId="48" fillId="0" borderId="0" xfId="2" applyFont="1"/>
    <xf numFmtId="0" fontId="12" fillId="0" borderId="0" xfId="2"/>
    <xf numFmtId="0" fontId="48" fillId="0" borderId="0" xfId="2" applyFont="1" applyAlignment="1">
      <alignment horizontal="center"/>
    </xf>
    <xf numFmtId="0" fontId="48" fillId="0" borderId="0" xfId="2" applyFont="1" applyAlignment="1">
      <alignment horizontal="left"/>
    </xf>
    <xf numFmtId="0" fontId="12" fillId="9" borderId="0" xfId="2" applyFill="1"/>
    <xf numFmtId="0" fontId="12" fillId="0" borderId="4" xfId="2" applyBorder="1" applyAlignment="1">
      <alignment horizontal="center"/>
    </xf>
    <xf numFmtId="0" fontId="12" fillId="0" borderId="9" xfId="2" applyBorder="1" applyAlignment="1">
      <alignment horizontal="center"/>
    </xf>
    <xf numFmtId="0" fontId="12" fillId="0" borderId="4" xfId="2" applyBorder="1"/>
    <xf numFmtId="0" fontId="12" fillId="0" borderId="9" xfId="2" applyBorder="1"/>
    <xf numFmtId="2" fontId="12" fillId="0" borderId="9" xfId="2" applyNumberFormat="1" applyBorder="1" applyAlignment="1">
      <alignment horizontal="center"/>
    </xf>
    <xf numFmtId="11" fontId="12" fillId="0" borderId="9" xfId="2" applyNumberFormat="1" applyBorder="1" applyAlignment="1">
      <alignment horizontal="center"/>
    </xf>
    <xf numFmtId="2" fontId="12" fillId="0" borderId="4" xfId="2" applyNumberFormat="1" applyBorder="1" applyAlignment="1">
      <alignment horizontal="center"/>
    </xf>
    <xf numFmtId="2" fontId="12" fillId="0" borderId="4" xfId="2" applyNumberFormat="1" applyBorder="1"/>
    <xf numFmtId="0" fontId="12" fillId="0" borderId="0" xfId="2" applyAlignment="1">
      <alignment horizontal="left"/>
    </xf>
    <xf numFmtId="1" fontId="12" fillId="0" borderId="0" xfId="2" applyNumberFormat="1" applyAlignment="1">
      <alignment horizontal="center"/>
    </xf>
    <xf numFmtId="2" fontId="12" fillId="0" borderId="0" xfId="2" applyNumberFormat="1" applyAlignment="1">
      <alignment horizontal="center"/>
    </xf>
    <xf numFmtId="165" fontId="12" fillId="0" borderId="0" xfId="2" applyNumberFormat="1" applyAlignment="1">
      <alignment horizontal="center"/>
    </xf>
    <xf numFmtId="0" fontId="12" fillId="0" borderId="0" xfId="2" applyAlignment="1">
      <alignment horizontal="center"/>
    </xf>
    <xf numFmtId="2" fontId="22" fillId="0" borderId="0" xfId="12" applyNumberFormat="1" applyFont="1"/>
    <xf numFmtId="0" fontId="0" fillId="0" borderId="0" xfId="0" applyAlignment="1">
      <alignment horizontal="left"/>
    </xf>
    <xf numFmtId="0" fontId="44" fillId="2" borderId="21" xfId="4" quotePrefix="1" applyFont="1" applyFill="1" applyBorder="1" applyAlignment="1">
      <alignment horizontal="center"/>
    </xf>
    <xf numFmtId="0" fontId="44" fillId="2" borderId="8" xfId="4" applyFont="1" applyFill="1" applyBorder="1" applyAlignment="1">
      <alignment horizontal="center"/>
    </xf>
    <xf numFmtId="2" fontId="44" fillId="2" borderId="8" xfId="4" applyNumberFormat="1" applyFont="1" applyFill="1" applyBorder="1" applyAlignment="1">
      <alignment horizontal="center"/>
    </xf>
    <xf numFmtId="1" fontId="55" fillId="2" borderId="8" xfId="4" applyNumberFormat="1" applyFont="1" applyFill="1" applyBorder="1" applyAlignment="1">
      <alignment horizontal="center"/>
    </xf>
    <xf numFmtId="168" fontId="44" fillId="0" borderId="9" xfId="4" quotePrefix="1" applyNumberFormat="1" applyFont="1" applyBorder="1" applyAlignment="1">
      <alignment horizontal="center"/>
    </xf>
    <xf numFmtId="168" fontId="44" fillId="2" borderId="22" xfId="4" applyNumberFormat="1" applyFont="1" applyFill="1" applyBorder="1" applyAlignment="1">
      <alignment horizontal="center"/>
    </xf>
    <xf numFmtId="0" fontId="44" fillId="0" borderId="23" xfId="4" quotePrefix="1" applyFont="1" applyBorder="1" applyAlignment="1">
      <alignment horizontal="left"/>
    </xf>
    <xf numFmtId="0" fontId="44" fillId="0" borderId="10" xfId="4" applyFont="1" applyBorder="1" applyAlignment="1">
      <alignment horizontal="center"/>
    </xf>
    <xf numFmtId="2" fontId="44" fillId="2" borderId="10" xfId="4" applyNumberFormat="1" applyFont="1" applyFill="1" applyBorder="1" applyAlignment="1">
      <alignment horizontal="center"/>
    </xf>
    <xf numFmtId="2" fontId="44" fillId="0" borderId="10" xfId="4" applyNumberFormat="1" applyFont="1" applyBorder="1" applyAlignment="1">
      <alignment horizontal="center"/>
    </xf>
    <xf numFmtId="2" fontId="44" fillId="0" borderId="62" xfId="4" applyNumberFormat="1" applyFont="1" applyBorder="1" applyAlignment="1">
      <alignment horizontal="center"/>
    </xf>
    <xf numFmtId="0" fontId="44" fillId="0" borderId="10" xfId="4" quotePrefix="1" applyFont="1" applyBorder="1" applyAlignment="1">
      <alignment horizontal="left"/>
    </xf>
    <xf numFmtId="0" fontId="44" fillId="0" borderId="23" xfId="4" applyFont="1" applyBorder="1" applyAlignment="1">
      <alignment horizontal="left"/>
    </xf>
    <xf numFmtId="0" fontId="44" fillId="0" borderId="10" xfId="4" applyFont="1" applyBorder="1" applyAlignment="1">
      <alignment horizontal="left"/>
    </xf>
    <xf numFmtId="2" fontId="44" fillId="2" borderId="10" xfId="4" quotePrefix="1" applyNumberFormat="1" applyFont="1" applyFill="1" applyBorder="1" applyAlignment="1">
      <alignment horizontal="center"/>
    </xf>
    <xf numFmtId="168" fontId="44" fillId="2" borderId="10" xfId="4" applyNumberFormat="1" applyFont="1" applyFill="1" applyBorder="1" applyAlignment="1">
      <alignment horizontal="center"/>
    </xf>
    <xf numFmtId="1" fontId="44" fillId="2" borderId="10" xfId="4" applyNumberFormat="1" applyFont="1" applyFill="1" applyBorder="1" applyAlignment="1">
      <alignment horizontal="center"/>
    </xf>
    <xf numFmtId="49" fontId="44" fillId="0" borderId="10" xfId="4" applyNumberFormat="1" applyFont="1" applyBorder="1" applyAlignment="1">
      <alignment horizontal="center"/>
    </xf>
    <xf numFmtId="0" fontId="44" fillId="2" borderId="10" xfId="4" applyFont="1" applyFill="1" applyBorder="1" applyAlignment="1">
      <alignment horizontal="center"/>
    </xf>
    <xf numFmtId="0" fontId="44" fillId="0" borderId="12" xfId="4" quotePrefix="1" applyFont="1" applyBorder="1" applyAlignment="1">
      <alignment horizontal="left"/>
    </xf>
    <xf numFmtId="0" fontId="44" fillId="0" borderId="1" xfId="4" quotePrefix="1" applyFont="1" applyBorder="1" applyAlignment="1">
      <alignment horizontal="left"/>
    </xf>
    <xf numFmtId="0" fontId="56" fillId="0" borderId="1" xfId="4" applyFont="1" applyBorder="1" applyAlignment="1">
      <alignment horizontal="right"/>
    </xf>
    <xf numFmtId="2" fontId="44" fillId="2" borderId="1" xfId="4" applyNumberFormat="1" applyFont="1" applyFill="1" applyBorder="1" applyAlignment="1">
      <alignment horizontal="right"/>
    </xf>
    <xf numFmtId="1" fontId="44" fillId="2" borderId="1" xfId="4" applyNumberFormat="1" applyFont="1" applyFill="1" applyBorder="1" applyAlignment="1">
      <alignment horizontal="center"/>
    </xf>
    <xf numFmtId="0" fontId="44" fillId="0" borderId="1" xfId="4" applyFont="1" applyBorder="1" applyAlignment="1">
      <alignment horizontal="right"/>
    </xf>
    <xf numFmtId="0" fontId="44" fillId="0" borderId="8" xfId="4" applyFont="1" applyBorder="1" applyAlignment="1">
      <alignment horizontal="right"/>
    </xf>
    <xf numFmtId="1" fontId="44" fillId="0" borderId="15" xfId="4" applyNumberFormat="1" applyFont="1" applyBorder="1" applyAlignment="1">
      <alignment horizontal="center"/>
    </xf>
    <xf numFmtId="168" fontId="44" fillId="0" borderId="16" xfId="4" applyNumberFormat="1" applyFont="1" applyBorder="1" applyAlignment="1">
      <alignment horizontal="right"/>
    </xf>
    <xf numFmtId="1" fontId="43" fillId="2" borderId="18" xfId="4" applyNumberFormat="1" applyFont="1" applyFill="1" applyBorder="1" applyAlignment="1">
      <alignment horizontal="center"/>
    </xf>
    <xf numFmtId="168" fontId="43" fillId="2" borderId="19" xfId="4" applyNumberFormat="1" applyFont="1" applyFill="1" applyBorder="1" applyAlignment="1">
      <alignment horizontal="centerContinuous"/>
    </xf>
    <xf numFmtId="0" fontId="43" fillId="0" borderId="20" xfId="4" applyFont="1" applyBorder="1" applyAlignment="1">
      <alignment horizontal="centerContinuous"/>
    </xf>
    <xf numFmtId="2" fontId="57" fillId="0" borderId="10" xfId="4" applyNumberFormat="1" applyFont="1" applyBorder="1" applyAlignment="1">
      <alignment horizontal="center"/>
    </xf>
    <xf numFmtId="2" fontId="57" fillId="0" borderId="62" xfId="4" applyNumberFormat="1" applyFont="1" applyBorder="1" applyAlignment="1">
      <alignment horizontal="center"/>
    </xf>
    <xf numFmtId="0" fontId="57" fillId="0" borderId="21" xfId="4" applyFont="1" applyBorder="1" applyAlignment="1">
      <alignment horizontal="left"/>
    </xf>
    <xf numFmtId="0" fontId="57" fillId="0" borderId="9" xfId="4" applyFont="1" applyBorder="1" applyAlignment="1">
      <alignment horizontal="center"/>
    </xf>
    <xf numFmtId="2" fontId="57" fillId="2" borderId="9" xfId="4" applyNumberFormat="1" applyFont="1" applyFill="1" applyBorder="1" applyAlignment="1">
      <alignment horizontal="center"/>
    </xf>
    <xf numFmtId="1" fontId="57" fillId="2" borderId="9" xfId="4" applyNumberFormat="1" applyFont="1" applyFill="1" applyBorder="1" applyAlignment="1">
      <alignment horizontal="center"/>
    </xf>
    <xf numFmtId="2" fontId="57" fillId="2" borderId="10" xfId="4" applyNumberFormat="1" applyFont="1" applyFill="1" applyBorder="1" applyAlignment="1">
      <alignment horizontal="center"/>
    </xf>
    <xf numFmtId="0" fontId="57" fillId="0" borderId="24" xfId="4" applyFont="1" applyBorder="1" applyAlignment="1">
      <alignment horizontal="left"/>
    </xf>
    <xf numFmtId="0" fontId="57" fillId="0" borderId="18" xfId="4" applyFont="1" applyBorder="1" applyAlignment="1">
      <alignment horizontal="left"/>
    </xf>
    <xf numFmtId="0" fontId="57" fillId="0" borderId="18" xfId="4" applyFont="1" applyBorder="1" applyAlignment="1">
      <alignment horizontal="center"/>
    </xf>
    <xf numFmtId="49" fontId="57" fillId="0" borderId="25" xfId="4" applyNumberFormat="1" applyFont="1" applyBorder="1" applyAlignment="1">
      <alignment horizontal="center"/>
    </xf>
    <xf numFmtId="2" fontId="57" fillId="2" borderId="18" xfId="4" applyNumberFormat="1" applyFont="1" applyFill="1" applyBorder="1" applyAlignment="1">
      <alignment horizontal="center"/>
    </xf>
    <xf numFmtId="1" fontId="57" fillId="2" borderId="18" xfId="4" applyNumberFormat="1" applyFont="1" applyFill="1" applyBorder="1" applyAlignment="1">
      <alignment horizontal="center"/>
    </xf>
    <xf numFmtId="0" fontId="43" fillId="0" borderId="0" xfId="0" applyFont="1" applyAlignment="1">
      <alignment horizontal="right"/>
    </xf>
    <xf numFmtId="14" fontId="44" fillId="0" borderId="0" xfId="0" quotePrefix="1" applyNumberFormat="1" applyFont="1" applyAlignment="1">
      <alignment horizontal="left"/>
    </xf>
    <xf numFmtId="3" fontId="43" fillId="0" borderId="0" xfId="4" applyNumberFormat="1" applyFont="1" applyAlignment="1">
      <alignment horizontal="right"/>
    </xf>
    <xf numFmtId="0" fontId="43" fillId="0" borderId="0" xfId="4" applyFont="1"/>
    <xf numFmtId="0" fontId="58" fillId="0" borderId="15" xfId="4" quotePrefix="1" applyFont="1" applyBorder="1" applyAlignment="1">
      <alignment horizontal="left"/>
    </xf>
    <xf numFmtId="0" fontId="59" fillId="0" borderId="15" xfId="4" applyFont="1" applyBorder="1" applyAlignment="1">
      <alignment horizontal="center"/>
    </xf>
    <xf numFmtId="2" fontId="58" fillId="2" borderId="15" xfId="4" applyNumberFormat="1" applyFont="1" applyFill="1" applyBorder="1" applyAlignment="1">
      <alignment horizontal="center"/>
    </xf>
    <xf numFmtId="1" fontId="58" fillId="2" borderId="15" xfId="4" applyNumberFormat="1" applyFont="1" applyFill="1" applyBorder="1" applyAlignment="1">
      <alignment horizontal="center"/>
    </xf>
    <xf numFmtId="2" fontId="60" fillId="0" borderId="62" xfId="4" applyNumberFormat="1" applyFont="1" applyBorder="1" applyAlignment="1">
      <alignment horizontal="center"/>
    </xf>
    <xf numFmtId="0" fontId="60" fillId="0" borderId="23" xfId="4" applyFont="1" applyBorder="1" applyAlignment="1">
      <alignment horizontal="left"/>
    </xf>
    <xf numFmtId="0" fontId="60" fillId="0" borderId="10" xfId="4" applyFont="1" applyBorder="1" applyAlignment="1">
      <alignment horizontal="center"/>
    </xf>
    <xf numFmtId="2" fontId="60" fillId="2" borderId="10" xfId="4" quotePrefix="1" applyNumberFormat="1" applyFont="1" applyFill="1" applyBorder="1" applyAlignment="1">
      <alignment horizontal="center"/>
    </xf>
    <xf numFmtId="2" fontId="60" fillId="2" borderId="10" xfId="4" applyNumberFormat="1" applyFont="1" applyFill="1" applyBorder="1" applyAlignment="1">
      <alignment horizontal="center"/>
    </xf>
    <xf numFmtId="2" fontId="60" fillId="0" borderId="10" xfId="4" applyNumberFormat="1" applyFont="1" applyBorder="1" applyAlignment="1">
      <alignment horizontal="center"/>
    </xf>
    <xf numFmtId="2" fontId="61" fillId="0" borderId="15" xfId="4" applyNumberFormat="1" applyFont="1" applyBorder="1" applyAlignment="1">
      <alignment horizontal="center"/>
    </xf>
    <xf numFmtId="0" fontId="61" fillId="0" borderId="30" xfId="4" quotePrefix="1" applyFont="1" applyBorder="1" applyAlignment="1">
      <alignment horizontal="left"/>
    </xf>
    <xf numFmtId="0" fontId="61" fillId="0" borderId="11" xfId="4" applyFont="1" applyBorder="1" applyAlignment="1">
      <alignment horizontal="left"/>
    </xf>
    <xf numFmtId="0" fontId="61" fillId="0" borderId="0" xfId="4" quotePrefix="1" applyFont="1" applyAlignment="1">
      <alignment horizontal="left"/>
    </xf>
    <xf numFmtId="0" fontId="63" fillId="0" borderId="0" xfId="4" applyFont="1" applyAlignment="1">
      <alignment horizontal="center"/>
    </xf>
    <xf numFmtId="2" fontId="61" fillId="2" borderId="0" xfId="4" applyNumberFormat="1" applyFont="1" applyFill="1" applyAlignment="1">
      <alignment horizontal="center"/>
    </xf>
    <xf numFmtId="1" fontId="61" fillId="2" borderId="0" xfId="4" applyNumberFormat="1" applyFont="1" applyFill="1" applyAlignment="1">
      <alignment horizontal="center"/>
    </xf>
    <xf numFmtId="2" fontId="61" fillId="0" borderId="0" xfId="4" applyNumberFormat="1" applyFont="1" applyAlignment="1">
      <alignment horizontal="center"/>
    </xf>
    <xf numFmtId="2" fontId="61" fillId="0" borderId="7" xfId="4" applyNumberFormat="1" applyFont="1" applyBorder="1" applyAlignment="1">
      <alignment horizontal="center"/>
    </xf>
    <xf numFmtId="2" fontId="61" fillId="0" borderId="27" xfId="4" applyNumberFormat="1" applyFont="1" applyBorder="1" applyAlignment="1">
      <alignment horizontal="center"/>
    </xf>
    <xf numFmtId="2" fontId="44" fillId="0" borderId="4" xfId="12" applyNumberFormat="1" applyFont="1" applyBorder="1"/>
    <xf numFmtId="2" fontId="44" fillId="0" borderId="2" xfId="12" applyNumberFormat="1" applyFont="1" applyBorder="1"/>
    <xf numFmtId="2" fontId="44" fillId="0" borderId="5" xfId="12" applyNumberFormat="1" applyFont="1" applyBorder="1"/>
    <xf numFmtId="2" fontId="44" fillId="0" borderId="6" xfId="12" applyNumberFormat="1" applyFont="1" applyBorder="1"/>
    <xf numFmtId="2" fontId="44" fillId="2" borderId="6" xfId="12" applyNumberFormat="1" applyFont="1" applyFill="1" applyBorder="1" applyAlignment="1">
      <alignment horizontal="left"/>
    </xf>
    <xf numFmtId="2" fontId="43" fillId="0" borderId="11" xfId="12" applyNumberFormat="1" applyFont="1" applyBorder="1" applyAlignment="1">
      <alignment horizontal="center"/>
    </xf>
    <xf numFmtId="2" fontId="43" fillId="2" borderId="6" xfId="12" applyNumberFormat="1" applyFont="1" applyFill="1" applyBorder="1"/>
    <xf numFmtId="2" fontId="43" fillId="2" borderId="10" xfId="12" applyNumberFormat="1" applyFont="1" applyFill="1" applyBorder="1" applyAlignment="1">
      <alignment horizontal="center"/>
    </xf>
    <xf numFmtId="2" fontId="43" fillId="2" borderId="6" xfId="12" applyNumberFormat="1" applyFont="1" applyFill="1" applyBorder="1" applyAlignment="1">
      <alignment horizontal="center"/>
    </xf>
    <xf numFmtId="2" fontId="43" fillId="0" borderId="6" xfId="12" applyNumberFormat="1" applyFont="1" applyBorder="1" applyAlignment="1">
      <alignment horizontal="center"/>
    </xf>
    <xf numFmtId="2" fontId="43" fillId="0" borderId="13" xfId="12" applyNumberFormat="1" applyFont="1" applyBorder="1" applyAlignment="1">
      <alignment horizontal="right"/>
    </xf>
    <xf numFmtId="2" fontId="43" fillId="2" borderId="5" xfId="12" applyNumberFormat="1" applyFont="1" applyFill="1" applyBorder="1" applyAlignment="1">
      <alignment horizontal="right"/>
    </xf>
    <xf numFmtId="2" fontId="43" fillId="0" borderId="2" xfId="12" applyNumberFormat="1" applyFont="1" applyBorder="1" applyAlignment="1">
      <alignment horizontal="right"/>
    </xf>
    <xf numFmtId="2" fontId="44" fillId="0" borderId="10" xfId="12" applyNumberFormat="1" applyFont="1" applyBorder="1" applyAlignment="1">
      <alignment horizontal="center" wrapText="1"/>
    </xf>
    <xf numFmtId="2" fontId="44" fillId="0" borderId="10" xfId="12" applyNumberFormat="1" applyFont="1" applyBorder="1" applyAlignment="1">
      <alignment horizontal="center"/>
    </xf>
    <xf numFmtId="2" fontId="44" fillId="0" borderId="10" xfId="12" applyNumberFormat="1" applyFont="1" applyBorder="1" applyAlignment="1">
      <alignment horizontal="right"/>
    </xf>
    <xf numFmtId="2" fontId="44" fillId="0" borderId="10" xfId="12" applyNumberFormat="1" applyFont="1" applyBorder="1"/>
    <xf numFmtId="0" fontId="65" fillId="0" borderId="13" xfId="14" quotePrefix="1" applyFont="1" applyBorder="1" applyAlignment="1">
      <alignment horizontal="left"/>
    </xf>
    <xf numFmtId="0" fontId="65" fillId="0" borderId="2" xfId="14" quotePrefix="1" applyFont="1" applyBorder="1" applyAlignment="1">
      <alignment horizontal="center"/>
    </xf>
    <xf numFmtId="0" fontId="67" fillId="0" borderId="2" xfId="14" applyFont="1" applyBorder="1" applyAlignment="1">
      <alignment horizontal="right"/>
    </xf>
    <xf numFmtId="2" fontId="65" fillId="2" borderId="2" xfId="14" applyNumberFormat="1" applyFont="1" applyFill="1" applyBorder="1" applyAlignment="1">
      <alignment horizontal="right"/>
    </xf>
    <xf numFmtId="2" fontId="68" fillId="2" borderId="2" xfId="14" quotePrefix="1" applyNumberFormat="1" applyFont="1" applyFill="1" applyBorder="1" applyAlignment="1">
      <alignment horizontal="right"/>
    </xf>
    <xf numFmtId="2" fontId="65" fillId="0" borderId="2" xfId="14" applyNumberFormat="1" applyFont="1" applyBorder="1" applyAlignment="1">
      <alignment horizontal="right"/>
    </xf>
    <xf numFmtId="2" fontId="68" fillId="2" borderId="2" xfId="14" quotePrefix="1" applyNumberFormat="1" applyFont="1" applyFill="1" applyBorder="1" applyAlignment="1">
      <alignment horizontal="center"/>
    </xf>
    <xf numFmtId="2" fontId="65" fillId="0" borderId="5" xfId="14" applyNumberFormat="1" applyFont="1" applyBorder="1" applyAlignment="1">
      <alignment horizontal="right"/>
    </xf>
    <xf numFmtId="0" fontId="65" fillId="0" borderId="12" xfId="14" applyFont="1" applyBorder="1" applyAlignment="1">
      <alignment horizontal="left"/>
    </xf>
    <xf numFmtId="0" fontId="65" fillId="0" borderId="1" xfId="14" applyFont="1" applyBorder="1"/>
    <xf numFmtId="0" fontId="65" fillId="0" borderId="1" xfId="14" quotePrefix="1" applyFont="1" applyBorder="1" applyAlignment="1">
      <alignment horizontal="center"/>
    </xf>
    <xf numFmtId="0" fontId="67" fillId="0" borderId="1" xfId="14" applyFont="1" applyBorder="1" applyAlignment="1">
      <alignment horizontal="right"/>
    </xf>
    <xf numFmtId="2" fontId="65" fillId="2" borderId="1" xfId="14" applyNumberFormat="1" applyFont="1" applyFill="1" applyBorder="1" applyAlignment="1">
      <alignment horizontal="right"/>
    </xf>
    <xf numFmtId="2" fontId="65" fillId="0" borderId="1" xfId="14" applyNumberFormat="1" applyFont="1" applyBorder="1" applyAlignment="1">
      <alignment horizontal="right"/>
    </xf>
    <xf numFmtId="2" fontId="65" fillId="2" borderId="1" xfId="14" applyNumberFormat="1" applyFont="1" applyFill="1" applyBorder="1" applyAlignment="1">
      <alignment horizontal="center"/>
    </xf>
    <xf numFmtId="2" fontId="65" fillId="0" borderId="8" xfId="14" applyNumberFormat="1" applyFont="1" applyBorder="1" applyAlignment="1">
      <alignment horizontal="right"/>
    </xf>
    <xf numFmtId="0" fontId="69" fillId="0" borderId="0" xfId="14" applyFont="1" applyAlignment="1">
      <alignment horizontal="left"/>
    </xf>
    <xf numFmtId="0" fontId="71" fillId="0" borderId="0" xfId="14" quotePrefix="1" applyFont="1" applyAlignment="1">
      <alignment horizontal="center"/>
    </xf>
    <xf numFmtId="0" fontId="72" fillId="0" borderId="0" xfId="14" applyFont="1" applyAlignment="1">
      <alignment horizontal="right"/>
    </xf>
    <xf numFmtId="2" fontId="71" fillId="2" borderId="0" xfId="14" applyNumberFormat="1" applyFont="1" applyFill="1" applyAlignment="1">
      <alignment horizontal="right"/>
    </xf>
    <xf numFmtId="1" fontId="71" fillId="2" borderId="0" xfId="14" applyNumberFormat="1" applyFont="1" applyFill="1" applyAlignment="1">
      <alignment horizontal="center"/>
    </xf>
    <xf numFmtId="2" fontId="71" fillId="0" borderId="0" xfId="14" applyNumberFormat="1" applyFont="1" applyAlignment="1">
      <alignment horizontal="right"/>
    </xf>
    <xf numFmtId="0" fontId="70" fillId="0" borderId="0" xfId="14" applyFont="1" applyAlignment="1">
      <alignment horizontal="left"/>
    </xf>
    <xf numFmtId="0" fontId="69" fillId="0" borderId="0" xfId="14" applyFont="1"/>
    <xf numFmtId="0" fontId="73" fillId="0" borderId="0" xfId="14" applyFont="1" applyAlignment="1">
      <alignment horizontal="left"/>
    </xf>
    <xf numFmtId="0" fontId="73" fillId="0" borderId="0" xfId="14" quotePrefix="1" applyFont="1" applyAlignment="1">
      <alignment horizontal="center"/>
    </xf>
    <xf numFmtId="0" fontId="71" fillId="0" borderId="0" xfId="14" applyFont="1" applyAlignment="1">
      <alignment horizontal="right"/>
    </xf>
    <xf numFmtId="2" fontId="71" fillId="0" borderId="0" xfId="14" applyNumberFormat="1" applyFont="1" applyAlignment="1">
      <alignment horizontal="center"/>
    </xf>
    <xf numFmtId="1" fontId="71" fillId="0" borderId="0" xfId="14" applyNumberFormat="1" applyFont="1" applyAlignment="1">
      <alignment horizontal="center"/>
    </xf>
    <xf numFmtId="0" fontId="71" fillId="0" borderId="0" xfId="14" applyFont="1"/>
    <xf numFmtId="0" fontId="71" fillId="0" borderId="0" xfId="14" quotePrefix="1" applyFont="1" applyAlignment="1">
      <alignment horizontal="right"/>
    </xf>
    <xf numFmtId="168" fontId="71" fillId="0" borderId="0" xfId="14" applyNumberFormat="1" applyFont="1" applyAlignment="1">
      <alignment horizontal="right"/>
    </xf>
    <xf numFmtId="0" fontId="73" fillId="0" borderId="0" xfId="14" applyFont="1"/>
    <xf numFmtId="0" fontId="74" fillId="0" borderId="0" xfId="14" applyFont="1" applyAlignment="1">
      <alignment horizontal="right"/>
    </xf>
    <xf numFmtId="0" fontId="69" fillId="0" borderId="0" xfId="14" applyFont="1" applyAlignment="1">
      <alignment horizontal="center"/>
    </xf>
    <xf numFmtId="0" fontId="74" fillId="0" borderId="0" xfId="14" quotePrefix="1" applyFont="1" applyAlignment="1">
      <alignment horizontal="right"/>
    </xf>
    <xf numFmtId="2" fontId="74" fillId="0" borderId="0" xfId="14" quotePrefix="1" applyNumberFormat="1" applyFont="1" applyAlignment="1">
      <alignment horizontal="left"/>
    </xf>
    <xf numFmtId="3" fontId="32" fillId="0" borderId="0" xfId="0" applyNumberFormat="1" applyFont="1"/>
    <xf numFmtId="0" fontId="32" fillId="0" borderId="0" xfId="0" applyFont="1" applyAlignment="1">
      <alignment horizontal="left"/>
    </xf>
    <xf numFmtId="0" fontId="32" fillId="0" borderId="0" xfId="12" applyFont="1" applyAlignment="1">
      <alignment horizontal="right" vertical="center"/>
    </xf>
    <xf numFmtId="0" fontId="32" fillId="0" borderId="0" xfId="0" applyFont="1" applyAlignment="1">
      <alignment horizontal="right"/>
    </xf>
    <xf numFmtId="170" fontId="32" fillId="0" borderId="0" xfId="0" applyNumberFormat="1" applyFont="1"/>
    <xf numFmtId="0" fontId="32" fillId="0" borderId="0" xfId="12" applyFont="1" applyAlignment="1">
      <alignment horizontal="left" vertical="center"/>
    </xf>
    <xf numFmtId="171" fontId="32" fillId="3" borderId="0" xfId="0" applyNumberFormat="1" applyFont="1" applyFill="1"/>
    <xf numFmtId="171" fontId="32" fillId="0" borderId="0" xfId="0" applyNumberFormat="1" applyFont="1"/>
    <xf numFmtId="2" fontId="32" fillId="3" borderId="0" xfId="0" applyNumberFormat="1" applyFont="1" applyFill="1"/>
    <xf numFmtId="2" fontId="32" fillId="0" borderId="0" xfId="0" applyNumberFormat="1" applyFont="1"/>
    <xf numFmtId="0" fontId="75" fillId="0" borderId="0" xfId="0" applyFont="1"/>
    <xf numFmtId="9" fontId="75" fillId="0" borderId="0" xfId="0" applyNumberFormat="1" applyFont="1"/>
    <xf numFmtId="2" fontId="75" fillId="0" borderId="0" xfId="0" applyNumberFormat="1" applyFont="1"/>
    <xf numFmtId="11" fontId="32" fillId="0" borderId="0" xfId="0" applyNumberFormat="1" applyFont="1"/>
    <xf numFmtId="0" fontId="76" fillId="0" borderId="0" xfId="0" applyFont="1"/>
    <xf numFmtId="0" fontId="77" fillId="0" borderId="0" xfId="8" applyFont="1"/>
    <xf numFmtId="0" fontId="78" fillId="0" borderId="42" xfId="7" applyFont="1" applyBorder="1" applyAlignment="1">
      <alignment horizontal="right"/>
    </xf>
    <xf numFmtId="168" fontId="78" fillId="0" borderId="44" xfId="8" applyNumberFormat="1" applyFont="1" applyBorder="1" applyAlignment="1">
      <alignment horizontal="center"/>
    </xf>
    <xf numFmtId="173" fontId="78" fillId="0" borderId="44" xfId="8" applyNumberFormat="1" applyFont="1" applyBorder="1" applyAlignment="1">
      <alignment horizontal="left"/>
    </xf>
    <xf numFmtId="0" fontId="78" fillId="0" borderId="44" xfId="8" applyFont="1" applyBorder="1"/>
    <xf numFmtId="0" fontId="77" fillId="0" borderId="43" xfId="8" applyFont="1" applyBorder="1"/>
    <xf numFmtId="168" fontId="77" fillId="0" borderId="0" xfId="8" applyNumberFormat="1" applyFont="1"/>
    <xf numFmtId="0" fontId="78" fillId="0" borderId="0" xfId="7" applyFont="1" applyAlignment="1">
      <alignment horizontal="right"/>
    </xf>
    <xf numFmtId="168" fontId="78" fillId="0" borderId="0" xfId="8" applyNumberFormat="1" applyFont="1" applyAlignment="1">
      <alignment horizontal="center"/>
    </xf>
    <xf numFmtId="173" fontId="78" fillId="0" borderId="0" xfId="8" applyNumberFormat="1" applyFont="1" applyAlignment="1">
      <alignment horizontal="left"/>
    </xf>
    <xf numFmtId="0" fontId="78" fillId="0" borderId="0" xfId="8" applyFont="1"/>
    <xf numFmtId="0" fontId="32" fillId="0" borderId="0" xfId="7" applyFont="1"/>
    <xf numFmtId="0" fontId="32" fillId="0" borderId="0" xfId="7" applyFont="1" applyAlignment="1">
      <alignment horizontal="left"/>
    </xf>
    <xf numFmtId="0" fontId="32" fillId="0" borderId="0" xfId="7" quotePrefix="1" applyFont="1" applyAlignment="1">
      <alignment horizontal="left"/>
    </xf>
    <xf numFmtId="0" fontId="77" fillId="0" borderId="0" xfId="7" applyFont="1"/>
    <xf numFmtId="176" fontId="77" fillId="0" borderId="0" xfId="8" quotePrefix="1" applyNumberFormat="1" applyFont="1" applyAlignment="1">
      <alignment horizontal="left" vertical="center"/>
    </xf>
    <xf numFmtId="0" fontId="77" fillId="0" borderId="0" xfId="8" applyFont="1" applyAlignment="1">
      <alignment horizontal="left"/>
    </xf>
    <xf numFmtId="4" fontId="77" fillId="0" borderId="0" xfId="8" applyNumberFormat="1" applyFont="1"/>
    <xf numFmtId="176" fontId="77" fillId="0" borderId="0" xfId="8" quotePrefix="1" applyNumberFormat="1" applyFont="1" applyAlignment="1">
      <alignment horizontal="left"/>
    </xf>
    <xf numFmtId="0" fontId="82" fillId="0" borderId="0" xfId="8" applyFont="1"/>
    <xf numFmtId="0" fontId="82" fillId="0" borderId="0" xfId="8" applyFont="1" applyAlignment="1">
      <alignment horizontal="right"/>
    </xf>
    <xf numFmtId="3" fontId="82" fillId="6" borderId="0" xfId="8" applyNumberFormat="1" applyFont="1" applyFill="1" applyAlignment="1">
      <alignment horizontal="center"/>
    </xf>
    <xf numFmtId="169" fontId="32" fillId="0" borderId="0" xfId="1" applyNumberFormat="1" applyFont="1" applyFill="1" applyBorder="1"/>
    <xf numFmtId="4" fontId="77" fillId="0" borderId="0" xfId="8" applyNumberFormat="1" applyFont="1" applyAlignment="1">
      <alignment horizontal="center"/>
    </xf>
    <xf numFmtId="0" fontId="78" fillId="5" borderId="63" xfId="8" applyFont="1" applyFill="1" applyBorder="1" applyAlignment="1">
      <alignment horizontal="center"/>
    </xf>
    <xf numFmtId="0" fontId="78" fillId="5" borderId="64" xfId="8" applyFont="1" applyFill="1" applyBorder="1" applyAlignment="1">
      <alignment horizontal="center"/>
    </xf>
    <xf numFmtId="0" fontId="78" fillId="5" borderId="65" xfId="8" applyFont="1" applyFill="1" applyBorder="1" applyAlignment="1">
      <alignment horizontal="center"/>
    </xf>
    <xf numFmtId="0" fontId="78" fillId="0" borderId="66" xfId="8" applyFont="1" applyBorder="1" applyAlignment="1">
      <alignment horizontal="center"/>
    </xf>
    <xf numFmtId="0" fontId="78" fillId="5" borderId="6" xfId="8" applyFont="1" applyFill="1" applyBorder="1" applyAlignment="1">
      <alignment horizontal="center"/>
    </xf>
    <xf numFmtId="0" fontId="78" fillId="5" borderId="11" xfId="8" applyFont="1" applyFill="1" applyBorder="1" applyAlignment="1">
      <alignment horizontal="center"/>
    </xf>
    <xf numFmtId="0" fontId="78" fillId="5" borderId="56" xfId="8" applyFont="1" applyFill="1" applyBorder="1" applyAlignment="1">
      <alignment horizontal="center"/>
    </xf>
    <xf numFmtId="0" fontId="78" fillId="5" borderId="67" xfId="8" applyFont="1" applyFill="1" applyBorder="1" applyAlignment="1">
      <alignment horizontal="center"/>
    </xf>
    <xf numFmtId="0" fontId="78" fillId="5" borderId="68" xfId="8" applyFont="1" applyFill="1" applyBorder="1" applyAlignment="1">
      <alignment horizontal="center"/>
    </xf>
    <xf numFmtId="0" fontId="82" fillId="7" borderId="69" xfId="8" applyFont="1" applyFill="1" applyBorder="1"/>
    <xf numFmtId="1" fontId="82" fillId="7" borderId="70" xfId="8" applyNumberFormat="1" applyFont="1" applyFill="1" applyBorder="1" applyAlignment="1">
      <alignment horizontal="center"/>
    </xf>
    <xf numFmtId="3" fontId="82" fillId="7" borderId="71" xfId="8" applyNumberFormat="1" applyFont="1" applyFill="1" applyBorder="1" applyAlignment="1">
      <alignment horizontal="center"/>
    </xf>
    <xf numFmtId="3" fontId="82" fillId="0" borderId="66" xfId="8" applyNumberFormat="1" applyFont="1" applyBorder="1" applyAlignment="1">
      <alignment horizontal="center"/>
    </xf>
    <xf numFmtId="0" fontId="82" fillId="7" borderId="55" xfId="8" applyFont="1" applyFill="1" applyBorder="1"/>
    <xf numFmtId="1" fontId="82" fillId="7" borderId="60" xfId="8" applyNumberFormat="1" applyFont="1" applyFill="1" applyBorder="1" applyAlignment="1">
      <alignment horizontal="center"/>
    </xf>
    <xf numFmtId="3" fontId="82" fillId="7" borderId="72" xfId="8" applyNumberFormat="1" applyFont="1" applyFill="1" applyBorder="1" applyAlignment="1">
      <alignment horizontal="center"/>
    </xf>
    <xf numFmtId="0" fontId="82" fillId="7" borderId="47" xfId="8" applyFont="1" applyFill="1" applyBorder="1"/>
    <xf numFmtId="1" fontId="82" fillId="7" borderId="9" xfId="8" applyNumberFormat="1" applyFont="1" applyFill="1" applyBorder="1" applyAlignment="1">
      <alignment horizontal="center"/>
    </xf>
    <xf numFmtId="3" fontId="82" fillId="7" borderId="48" xfId="8" applyNumberFormat="1" applyFont="1" applyFill="1" applyBorder="1" applyAlignment="1">
      <alignment horizontal="center"/>
    </xf>
    <xf numFmtId="0" fontId="77" fillId="0" borderId="0" xfId="8" applyFont="1" applyAlignment="1">
      <alignment horizontal="center"/>
    </xf>
    <xf numFmtId="3" fontId="82" fillId="7" borderId="73" xfId="8" applyNumberFormat="1" applyFont="1" applyFill="1" applyBorder="1" applyAlignment="1">
      <alignment horizontal="center"/>
    </xf>
    <xf numFmtId="3" fontId="77" fillId="0" borderId="0" xfId="8" applyNumberFormat="1" applyFont="1"/>
    <xf numFmtId="0" fontId="78" fillId="0" borderId="42" xfId="8" applyFont="1" applyBorder="1" applyAlignment="1">
      <alignment horizontal="right"/>
    </xf>
    <xf numFmtId="1" fontId="78" fillId="0" borderId="44" xfId="8" applyNumberFormat="1" applyFont="1" applyBorder="1" applyAlignment="1">
      <alignment horizontal="center"/>
    </xf>
    <xf numFmtId="3" fontId="78" fillId="0" borderId="74" xfId="8" applyNumberFormat="1" applyFont="1" applyBorder="1" applyAlignment="1">
      <alignment horizontal="center"/>
    </xf>
    <xf numFmtId="0" fontId="77" fillId="0" borderId="0" xfId="8" applyFont="1" applyAlignment="1">
      <alignment horizontal="left" indent="1"/>
    </xf>
    <xf numFmtId="0" fontId="78" fillId="0" borderId="0" xfId="8" applyFont="1" applyAlignment="1">
      <alignment horizontal="right"/>
    </xf>
    <xf numFmtId="1" fontId="78" fillId="0" borderId="0" xfId="8" applyNumberFormat="1" applyFont="1" applyAlignment="1">
      <alignment horizontal="center"/>
    </xf>
    <xf numFmtId="3" fontId="78" fillId="0" borderId="0" xfId="8" applyNumberFormat="1" applyFont="1" applyAlignment="1">
      <alignment horizontal="center"/>
    </xf>
    <xf numFmtId="3" fontId="77" fillId="0" borderId="0" xfId="8" applyNumberFormat="1" applyFont="1" applyAlignment="1">
      <alignment horizontal="left" indent="1"/>
    </xf>
    <xf numFmtId="3" fontId="77" fillId="0" borderId="0" xfId="8" quotePrefix="1" applyNumberFormat="1" applyFont="1" applyAlignment="1">
      <alignment horizontal="center"/>
    </xf>
    <xf numFmtId="0" fontId="78" fillId="0" borderId="0" xfId="8" quotePrefix="1" applyFont="1"/>
    <xf numFmtId="0" fontId="77" fillId="0" borderId="0" xfId="8" quotePrefix="1" applyFont="1"/>
    <xf numFmtId="0" fontId="77" fillId="0" borderId="0" xfId="8" applyFont="1" applyAlignment="1">
      <alignment horizontal="right"/>
    </xf>
    <xf numFmtId="0" fontId="77" fillId="0" borderId="0" xfId="8" quotePrefix="1" applyFont="1" applyAlignment="1">
      <alignment horizontal="left"/>
    </xf>
    <xf numFmtId="0" fontId="77" fillId="0" borderId="0" xfId="8" quotePrefix="1" applyFont="1" applyAlignment="1">
      <alignment horizontal="right"/>
    </xf>
    <xf numFmtId="165" fontId="77" fillId="0" borderId="0" xfId="8" quotePrefix="1" applyNumberFormat="1" applyFont="1" applyAlignment="1">
      <alignment horizontal="center"/>
    </xf>
    <xf numFmtId="1" fontId="77" fillId="0" borderId="0" xfId="8" quotePrefix="1" applyNumberFormat="1" applyFont="1" applyAlignment="1">
      <alignment horizontal="center"/>
    </xf>
    <xf numFmtId="0" fontId="77" fillId="0" borderId="75" xfId="8" applyFont="1" applyBorder="1" applyAlignment="1">
      <alignment horizontal="right"/>
    </xf>
    <xf numFmtId="2" fontId="77" fillId="0" borderId="3" xfId="8" applyNumberFormat="1" applyFont="1" applyBorder="1" applyAlignment="1">
      <alignment horizontal="center"/>
    </xf>
    <xf numFmtId="0" fontId="77" fillId="0" borderId="53" xfId="8" applyFont="1" applyBorder="1"/>
    <xf numFmtId="0" fontId="86" fillId="0" borderId="0" xfId="8" applyFont="1" applyAlignment="1">
      <alignment horizontal="center"/>
    </xf>
    <xf numFmtId="2" fontId="77" fillId="0" borderId="0" xfId="8" applyNumberFormat="1" applyFont="1" applyAlignment="1">
      <alignment horizontal="center"/>
    </xf>
    <xf numFmtId="172" fontId="77" fillId="0" borderId="0" xfId="8" applyNumberFormat="1" applyFont="1" applyAlignment="1">
      <alignment horizontal="center"/>
    </xf>
    <xf numFmtId="0" fontId="77" fillId="0" borderId="0" xfId="7" applyFont="1" applyAlignment="1">
      <alignment horizontal="right"/>
    </xf>
    <xf numFmtId="172" fontId="77" fillId="0" borderId="0" xfId="8" applyNumberFormat="1" applyFont="1" applyAlignment="1">
      <alignment horizontal="left"/>
    </xf>
    <xf numFmtId="3" fontId="77" fillId="0" borderId="0" xfId="8" applyNumberFormat="1" applyFont="1" applyAlignment="1">
      <alignment horizontal="center"/>
    </xf>
    <xf numFmtId="0" fontId="78" fillId="0" borderId="13" xfId="7" applyFont="1" applyBorder="1" applyAlignment="1">
      <alignment horizontal="right"/>
    </xf>
    <xf numFmtId="4" fontId="78" fillId="0" borderId="2" xfId="8" applyNumberFormat="1" applyFont="1" applyBorder="1" applyAlignment="1">
      <alignment horizontal="center"/>
    </xf>
    <xf numFmtId="173" fontId="78" fillId="0" borderId="2" xfId="8" applyNumberFormat="1" applyFont="1" applyBorder="1" applyAlignment="1">
      <alignment horizontal="left"/>
    </xf>
    <xf numFmtId="172" fontId="77" fillId="0" borderId="2" xfId="8" applyNumberFormat="1" applyFont="1" applyBorder="1" applyAlignment="1">
      <alignment horizontal="center"/>
    </xf>
    <xf numFmtId="0" fontId="77" fillId="0" borderId="5" xfId="8" applyFont="1" applyBorder="1"/>
    <xf numFmtId="0" fontId="78" fillId="0" borderId="2" xfId="8" applyFont="1" applyBorder="1" applyAlignment="1">
      <alignment horizontal="right"/>
    </xf>
    <xf numFmtId="0" fontId="78" fillId="0" borderId="2" xfId="8" applyFont="1" applyBorder="1"/>
    <xf numFmtId="0" fontId="77" fillId="0" borderId="2" xfId="8" applyFont="1" applyBorder="1"/>
    <xf numFmtId="0" fontId="78" fillId="0" borderId="75" xfId="7" applyFont="1" applyBorder="1" applyAlignment="1">
      <alignment horizontal="right"/>
    </xf>
    <xf numFmtId="4" fontId="78" fillId="0" borderId="3" xfId="8" applyNumberFormat="1" applyFont="1" applyBorder="1" applyAlignment="1">
      <alignment horizontal="center"/>
    </xf>
    <xf numFmtId="173" fontId="78" fillId="0" borderId="3" xfId="8" applyNumberFormat="1" applyFont="1" applyBorder="1" applyAlignment="1">
      <alignment horizontal="left"/>
    </xf>
    <xf numFmtId="172" fontId="77" fillId="0" borderId="3" xfId="8" applyNumberFormat="1" applyFont="1" applyBorder="1" applyAlignment="1">
      <alignment horizontal="center"/>
    </xf>
    <xf numFmtId="2" fontId="78" fillId="0" borderId="0" xfId="8" applyNumberFormat="1" applyFont="1" applyAlignment="1">
      <alignment horizontal="center"/>
    </xf>
    <xf numFmtId="176" fontId="78" fillId="0" borderId="0" xfId="8" quotePrefix="1" applyNumberFormat="1" applyFont="1" applyAlignment="1">
      <alignment horizontal="left"/>
    </xf>
    <xf numFmtId="0" fontId="77" fillId="0" borderId="0" xfId="0" applyFont="1"/>
    <xf numFmtId="2" fontId="77" fillId="0" borderId="0" xfId="8" applyNumberFormat="1" applyFont="1" applyAlignment="1">
      <alignment horizontal="left"/>
    </xf>
    <xf numFmtId="0" fontId="77" fillId="8" borderId="0" xfId="8" quotePrefix="1" applyFont="1" applyFill="1" applyAlignment="1">
      <alignment horizontal="center"/>
    </xf>
    <xf numFmtId="168" fontId="77" fillId="0" borderId="0" xfId="8" applyNumberFormat="1" applyFont="1" applyAlignment="1">
      <alignment horizontal="center"/>
    </xf>
    <xf numFmtId="0" fontId="78" fillId="0" borderId="75" xfId="8" applyFont="1" applyBorder="1" applyAlignment="1">
      <alignment horizontal="right"/>
    </xf>
    <xf numFmtId="172" fontId="77" fillId="0" borderId="53" xfId="8" applyNumberFormat="1" applyFont="1" applyBorder="1" applyAlignment="1">
      <alignment horizontal="center"/>
    </xf>
    <xf numFmtId="4" fontId="78" fillId="0" borderId="0" xfId="8" applyNumberFormat="1" applyFont="1" applyAlignment="1">
      <alignment horizontal="center"/>
    </xf>
    <xf numFmtId="165" fontId="77" fillId="8" borderId="0" xfId="15" applyNumberFormat="1" applyFont="1" applyFill="1" applyBorder="1" applyAlignment="1">
      <alignment horizontal="center"/>
    </xf>
    <xf numFmtId="0" fontId="77" fillId="0" borderId="75" xfId="8" quotePrefix="1" applyFont="1" applyBorder="1" applyAlignment="1">
      <alignment horizontal="center"/>
    </xf>
    <xf numFmtId="167" fontId="77" fillId="0" borderId="3" xfId="8" applyNumberFormat="1" applyFont="1" applyBorder="1" applyAlignment="1">
      <alignment horizontal="center"/>
    </xf>
    <xf numFmtId="167" fontId="77" fillId="0" borderId="0" xfId="8" applyNumberFormat="1" applyFont="1" applyAlignment="1">
      <alignment horizontal="center"/>
    </xf>
    <xf numFmtId="0" fontId="77" fillId="0" borderId="0" xfId="8" quotePrefix="1" applyFont="1" applyAlignment="1">
      <alignment horizontal="center"/>
    </xf>
    <xf numFmtId="0" fontId="32" fillId="0" borderId="0" xfId="7" applyFont="1" applyAlignment="1">
      <alignment horizontal="right"/>
    </xf>
    <xf numFmtId="2" fontId="77" fillId="0" borderId="0" xfId="8" applyNumberFormat="1" applyFont="1"/>
    <xf numFmtId="3" fontId="77" fillId="8" borderId="0" xfId="15" applyNumberFormat="1" applyFont="1" applyFill="1" applyBorder="1" applyAlignment="1">
      <alignment horizontal="center"/>
    </xf>
    <xf numFmtId="0" fontId="78" fillId="0" borderId="0" xfId="8" applyFont="1" applyAlignment="1">
      <alignment horizontal="left"/>
    </xf>
    <xf numFmtId="2" fontId="78" fillId="0" borderId="3" xfId="8" applyNumberFormat="1" applyFont="1" applyBorder="1" applyAlignment="1">
      <alignment horizontal="center"/>
    </xf>
    <xf numFmtId="0" fontId="78" fillId="0" borderId="53" xfId="8" applyFont="1" applyBorder="1"/>
    <xf numFmtId="0" fontId="78" fillId="0" borderId="0" xfId="8" applyFont="1" applyAlignment="1">
      <alignment horizontal="left" indent="1"/>
    </xf>
    <xf numFmtId="165" fontId="32" fillId="0" borderId="0" xfId="15" applyNumberFormat="1" applyFont="1" applyFill="1" applyAlignment="1">
      <alignment horizontal="center"/>
    </xf>
    <xf numFmtId="0" fontId="77" fillId="0" borderId="3" xfId="8" applyFont="1" applyBorder="1" applyAlignment="1">
      <alignment horizontal="right"/>
    </xf>
    <xf numFmtId="0" fontId="77" fillId="0" borderId="3" xfId="8" applyFont="1" applyBorder="1"/>
    <xf numFmtId="0" fontId="77" fillId="0" borderId="0" xfId="0" quotePrefix="1" applyFont="1" applyAlignment="1">
      <alignment horizontal="right"/>
    </xf>
    <xf numFmtId="168" fontId="77" fillId="0" borderId="0" xfId="0" applyNumberFormat="1" applyFont="1" applyAlignment="1">
      <alignment horizontal="center"/>
    </xf>
    <xf numFmtId="1" fontId="77" fillId="0" borderId="0" xfId="0" applyNumberFormat="1" applyFont="1" applyAlignment="1">
      <alignment horizontal="center"/>
    </xf>
    <xf numFmtId="2" fontId="77" fillId="0" borderId="0" xfId="0" applyNumberFormat="1" applyFont="1"/>
    <xf numFmtId="0" fontId="77" fillId="0" borderId="0" xfId="0" applyFont="1" applyAlignment="1">
      <alignment horizontal="center"/>
    </xf>
    <xf numFmtId="0" fontId="77" fillId="0" borderId="0" xfId="0" quotePrefix="1" applyFont="1" applyAlignment="1">
      <alignment horizontal="right" vertical="top"/>
    </xf>
    <xf numFmtId="0" fontId="77" fillId="0" borderId="0" xfId="0" applyFont="1" applyAlignment="1">
      <alignment horizontal="right"/>
    </xf>
    <xf numFmtId="172" fontId="77" fillId="0" borderId="0" xfId="0" applyNumberFormat="1" applyFont="1" applyAlignment="1">
      <alignment horizontal="right"/>
    </xf>
    <xf numFmtId="172" fontId="77" fillId="0" borderId="0" xfId="0" applyNumberFormat="1" applyFont="1"/>
    <xf numFmtId="2" fontId="77" fillId="0" borderId="0" xfId="0" applyNumberFormat="1" applyFont="1" applyAlignment="1">
      <alignment horizontal="center"/>
    </xf>
    <xf numFmtId="0" fontId="46" fillId="0" borderId="44" xfId="8" applyFont="1" applyBorder="1" applyAlignment="1">
      <alignment horizontal="center"/>
    </xf>
    <xf numFmtId="0" fontId="78" fillId="0" borderId="43" xfId="8" applyFont="1" applyBorder="1"/>
    <xf numFmtId="3" fontId="78" fillId="0" borderId="0" xfId="8" applyNumberFormat="1" applyFont="1"/>
    <xf numFmtId="0" fontId="46" fillId="0" borderId="0" xfId="8" applyFont="1" applyAlignment="1">
      <alignment horizontal="center"/>
    </xf>
    <xf numFmtId="2" fontId="78" fillId="0" borderId="44" xfId="8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168" fontId="77" fillId="0" borderId="0" xfId="0" applyNumberFormat="1" applyFont="1" applyAlignment="1">
      <alignment horizontal="left"/>
    </xf>
    <xf numFmtId="0" fontId="77" fillId="0" borderId="0" xfId="8" applyFont="1" applyAlignment="1">
      <alignment vertical="top"/>
    </xf>
    <xf numFmtId="0" fontId="77" fillId="0" borderId="0" xfId="8" applyFont="1" applyAlignment="1">
      <alignment horizontal="left" vertical="top"/>
    </xf>
    <xf numFmtId="168" fontId="12" fillId="0" borderId="9" xfId="2" applyNumberFormat="1" applyBorder="1" applyAlignment="1">
      <alignment horizontal="center"/>
    </xf>
    <xf numFmtId="172" fontId="12" fillId="0" borderId="9" xfId="2" applyNumberFormat="1" applyBorder="1" applyAlignment="1">
      <alignment horizontal="center"/>
    </xf>
    <xf numFmtId="0" fontId="14" fillId="0" borderId="0" xfId="6" applyFont="1" applyAlignment="1">
      <alignment horizontal="left" wrapText="1"/>
    </xf>
    <xf numFmtId="0" fontId="17" fillId="0" borderId="0" xfId="6" applyFont="1" applyAlignment="1">
      <alignment horizontal="left" wrapText="1"/>
    </xf>
    <xf numFmtId="2" fontId="3" fillId="2" borderId="13" xfId="14" applyNumberFormat="1" applyFont="1" applyFill="1" applyBorder="1" applyAlignment="1">
      <alignment horizontal="center" shrinkToFit="1"/>
    </xf>
    <xf numFmtId="2" fontId="3" fillId="2" borderId="5" xfId="14" applyNumberFormat="1" applyFont="1" applyFill="1" applyBorder="1" applyAlignment="1">
      <alignment horizontal="center" shrinkToFit="1"/>
    </xf>
    <xf numFmtId="2" fontId="3" fillId="2" borderId="12" xfId="14" applyNumberFormat="1" applyFont="1" applyFill="1" applyBorder="1" applyAlignment="1">
      <alignment horizontal="center"/>
    </xf>
    <xf numFmtId="2" fontId="3" fillId="2" borderId="8" xfId="14" applyNumberFormat="1" applyFont="1" applyFill="1" applyBorder="1" applyAlignment="1">
      <alignment horizontal="center"/>
    </xf>
    <xf numFmtId="2" fontId="43" fillId="2" borderId="12" xfId="12" applyNumberFormat="1" applyFont="1" applyFill="1" applyBorder="1" applyAlignment="1">
      <alignment horizontal="center"/>
    </xf>
    <xf numFmtId="2" fontId="43" fillId="2" borderId="1" xfId="12" applyNumberFormat="1" applyFont="1" applyFill="1" applyBorder="1" applyAlignment="1">
      <alignment horizontal="center"/>
    </xf>
    <xf numFmtId="2" fontId="43" fillId="2" borderId="8" xfId="12" applyNumberFormat="1" applyFont="1" applyFill="1" applyBorder="1" applyAlignment="1">
      <alignment horizontal="center"/>
    </xf>
    <xf numFmtId="2" fontId="43" fillId="2" borderId="75" xfId="12" applyNumberFormat="1" applyFont="1" applyFill="1" applyBorder="1" applyAlignment="1">
      <alignment horizontal="center"/>
    </xf>
    <xf numFmtId="2" fontId="43" fillId="2" borderId="53" xfId="12" applyNumberFormat="1" applyFont="1" applyFill="1" applyBorder="1" applyAlignment="1">
      <alignment horizontal="center"/>
    </xf>
    <xf numFmtId="2" fontId="43" fillId="2" borderId="75" xfId="12" quotePrefix="1" applyNumberFormat="1" applyFont="1" applyFill="1" applyBorder="1" applyAlignment="1">
      <alignment horizontal="center"/>
    </xf>
    <xf numFmtId="2" fontId="43" fillId="2" borderId="53" xfId="12" quotePrefix="1" applyNumberFormat="1" applyFont="1" applyFill="1" applyBorder="1" applyAlignment="1">
      <alignment horizontal="center"/>
    </xf>
    <xf numFmtId="2" fontId="43" fillId="2" borderId="3" xfId="12" applyNumberFormat="1" applyFont="1" applyFill="1" applyBorder="1" applyAlignment="1">
      <alignment horizontal="center"/>
    </xf>
    <xf numFmtId="0" fontId="43" fillId="0" borderId="0" xfId="4" quotePrefix="1" applyFont="1" applyAlignment="1">
      <alignment horizontal="right"/>
    </xf>
    <xf numFmtId="0" fontId="53" fillId="0" borderId="0" xfId="0" applyFont="1" applyAlignment="1">
      <alignment horizontal="center" wrapText="1"/>
    </xf>
    <xf numFmtId="0" fontId="32" fillId="0" borderId="0" xfId="12" applyFont="1" applyAlignment="1">
      <alignment vertical="center"/>
    </xf>
    <xf numFmtId="0" fontId="12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1" fillId="0" borderId="0" xfId="0" quotePrefix="1" applyFont="1" applyAlignment="1">
      <alignment horizontal="left" wrapText="1"/>
    </xf>
    <xf numFmtId="0" fontId="35" fillId="4" borderId="82" xfId="0" applyFont="1" applyFill="1" applyBorder="1" applyAlignment="1">
      <alignment horizontal="center" wrapText="1"/>
    </xf>
    <xf numFmtId="0" fontId="35" fillId="4" borderId="83" xfId="0" applyFont="1" applyFill="1" applyBorder="1" applyAlignment="1">
      <alignment horizontal="center" wrapText="1"/>
    </xf>
    <xf numFmtId="0" fontId="36" fillId="4" borderId="83" xfId="0" applyFont="1" applyFill="1" applyBorder="1" applyAlignment="1">
      <alignment horizontal="center" wrapText="1"/>
    </xf>
    <xf numFmtId="0" fontId="35" fillId="4" borderId="41" xfId="0" applyFont="1" applyFill="1" applyBorder="1" applyAlignment="1">
      <alignment horizontal="center" wrapText="1"/>
    </xf>
    <xf numFmtId="0" fontId="36" fillId="4" borderId="41" xfId="0" applyFont="1" applyFill="1" applyBorder="1" applyAlignment="1">
      <alignment horizontal="center" wrapText="1"/>
    </xf>
    <xf numFmtId="0" fontId="48" fillId="0" borderId="0" xfId="2" applyFont="1" applyAlignment="1">
      <alignment horizontal="center"/>
    </xf>
    <xf numFmtId="0" fontId="12" fillId="0" borderId="75" xfId="2" applyBorder="1" applyAlignment="1">
      <alignment horizontal="center"/>
    </xf>
    <xf numFmtId="0" fontId="12" fillId="0" borderId="53" xfId="2" applyBorder="1" applyAlignment="1">
      <alignment horizontal="center"/>
    </xf>
    <xf numFmtId="0" fontId="78" fillId="5" borderId="84" xfId="8" applyFont="1" applyFill="1" applyBorder="1" applyAlignment="1">
      <alignment horizontal="center" vertical="center"/>
    </xf>
    <xf numFmtId="0" fontId="78" fillId="5" borderId="85" xfId="8" applyFont="1" applyFill="1" applyBorder="1" applyAlignment="1">
      <alignment horizontal="center" vertical="center"/>
    </xf>
    <xf numFmtId="0" fontId="78" fillId="5" borderId="86" xfId="8" applyFont="1" applyFill="1" applyBorder="1" applyAlignment="1">
      <alignment horizontal="center" vertical="center"/>
    </xf>
    <xf numFmtId="0" fontId="78" fillId="0" borderId="42" xfId="8" applyFont="1" applyBorder="1" applyAlignment="1">
      <alignment horizontal="right"/>
    </xf>
    <xf numFmtId="0" fontId="78" fillId="0" borderId="44" xfId="8" applyFont="1" applyBorder="1" applyAlignment="1">
      <alignment horizontal="right"/>
    </xf>
    <xf numFmtId="0" fontId="78" fillId="0" borderId="87" xfId="8" applyFont="1" applyBorder="1" applyAlignment="1">
      <alignment horizontal="right"/>
    </xf>
    <xf numFmtId="176" fontId="77" fillId="0" borderId="0" xfId="8" quotePrefix="1" applyNumberFormat="1" applyFont="1" applyAlignment="1">
      <alignment horizontal="left" wrapText="1"/>
    </xf>
    <xf numFmtId="0" fontId="77" fillId="0" borderId="0" xfId="0" applyFont="1" applyAlignment="1">
      <alignment horizontal="left" vertical="top" wrapText="1"/>
    </xf>
    <xf numFmtId="0" fontId="21" fillId="0" borderId="0" xfId="9" applyFont="1"/>
    <xf numFmtId="0" fontId="0" fillId="0" borderId="0" xfId="0"/>
    <xf numFmtId="0" fontId="21" fillId="0" borderId="88" xfId="5" applyFont="1" applyBorder="1" applyAlignment="1">
      <alignment horizontal="center" vertical="center"/>
    </xf>
    <xf numFmtId="0" fontId="21" fillId="0" borderId="89" xfId="5" applyFont="1" applyBorder="1" applyAlignment="1">
      <alignment horizontal="center" vertical="center"/>
    </xf>
    <xf numFmtId="0" fontId="21" fillId="0" borderId="90" xfId="5" applyFont="1" applyBorder="1" applyAlignment="1">
      <alignment horizontal="center" vertical="center"/>
    </xf>
  </cellXfs>
  <cellStyles count="16">
    <cellStyle name="Comma" xfId="1" builtinId="3"/>
    <cellStyle name="Normal" xfId="0" builtinId="0"/>
    <cellStyle name="Normal 2" xfId="2" xr:uid="{24CF0E69-DE61-4CDC-83BE-08158BC0A917}"/>
    <cellStyle name="Normal 3" xfId="3" xr:uid="{FC2986AD-5BE2-4457-ADF3-093B86258C57}"/>
    <cellStyle name="Normal_2002 Landfill Fugitive" xfId="4" xr:uid="{A8C27139-0AAB-4C05-A1E6-E2CEBBA5727A}"/>
    <cellStyle name="Normal_county line-2002-calcs-ei" xfId="5" xr:uid="{F638D4E1-77E9-48CA-9C5E-EE75A3A52AB3}"/>
    <cellStyle name="Normal_Criteria pollutants" xfId="6" xr:uid="{DF4FE1C1-BC35-49F7-8532-162693B44837}"/>
    <cellStyle name="Normal_Earth Moving Emissions - SF" xfId="7" xr:uid="{F6BF6D2E-51E6-4394-8EFA-7CF10E3EBAC5}"/>
    <cellStyle name="Normal_Emiss Calc SAP Sldfctn - SF" xfId="8" xr:uid="{C0D1EC21-A190-4AB6-9E77-A6971E22EF2E}"/>
    <cellStyle name="Normal_Emissions Summary 2" xfId="9" xr:uid="{381369F3-B2E2-49ED-B0A4-51E698B99D4A}"/>
    <cellStyle name="Normal_enclosed flare emissions 1" xfId="10" xr:uid="{E707E482-E4FA-4218-92DC-DD2BD7F46F54}"/>
    <cellStyle name="Normal_Fuel and Equipment" xfId="11" xr:uid="{26DE60FF-92C2-424C-8760-2F6A617AEA1C}"/>
    <cellStyle name="Normal_Sheet1" xfId="12" xr:uid="{3B2F8E97-061F-47B4-9722-972B0FB37AFA}"/>
    <cellStyle name="Normal_Sheet4" xfId="13" xr:uid="{C24850E6-24EF-41F4-BE78-91D97001EE4A}"/>
    <cellStyle name="Normal_Sheet5" xfId="14" xr:uid="{7590700E-6E8E-44A6-8913-65C3FF157A69}"/>
    <cellStyle name="Percent" xfId="1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63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1155" name="Line 1">
          <a:extLst>
            <a:ext uri="{FF2B5EF4-FFF2-40B4-BE49-F238E27FC236}">
              <a16:creationId xmlns:a16="http://schemas.microsoft.com/office/drawing/2014/main" id="{ED55E5CB-A392-40B3-7E4C-26873F6CF94D}"/>
            </a:ext>
          </a:extLst>
        </xdr:cNvPr>
        <xdr:cNvSpPr>
          <a:spLocks noChangeShapeType="1"/>
        </xdr:cNvSpPr>
      </xdr:nvSpPr>
      <xdr:spPr bwMode="auto">
        <a:xfrm>
          <a:off x="3333750" y="106489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cgrp-my.sharepoint.com/Users/jhall/AppData/Local/Microsoft/Windows/Temporary%20Internet%20Files/Content.Outlook/L5K64F7M/Emission%20Calcs-EI%202017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rthmvg PM"/>
      <sheetName val="Input Sheet"/>
    </sheetNames>
    <sheetDataSet>
      <sheetData sheetId="0"/>
      <sheetData sheetId="1" refreshError="1">
        <row r="10">
          <cell r="D10">
            <v>1252</v>
          </cell>
        </row>
        <row r="15">
          <cell r="B15">
            <v>1</v>
          </cell>
        </row>
        <row r="16">
          <cell r="B16">
            <v>1</v>
          </cell>
        </row>
        <row r="21">
          <cell r="B21">
            <v>2</v>
          </cell>
          <cell r="C21">
            <v>2</v>
          </cell>
        </row>
        <row r="22">
          <cell r="B22">
            <v>2</v>
          </cell>
          <cell r="C2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DC70-E44A-4363-9D84-6E9AE8B8B1E6}">
  <sheetPr>
    <pageSetUpPr fitToPage="1"/>
  </sheetPr>
  <dimension ref="A1:N74"/>
  <sheetViews>
    <sheetView topLeftCell="A46" zoomScaleNormal="100" workbookViewId="0">
      <selection activeCell="H11" sqref="H11"/>
    </sheetView>
  </sheetViews>
  <sheetFormatPr defaultRowHeight="12.75"/>
  <cols>
    <col min="1" max="1" width="28.5703125" customWidth="1"/>
    <col min="2" max="2" width="11.7109375" customWidth="1"/>
    <col min="3" max="3" width="10.5703125" customWidth="1"/>
    <col min="5" max="5" width="12.140625" customWidth="1"/>
    <col min="9" max="9" width="9.42578125" bestFit="1" customWidth="1"/>
    <col min="11" max="11" width="14.7109375" customWidth="1"/>
  </cols>
  <sheetData>
    <row r="1" spans="1:13">
      <c r="A1" s="1"/>
      <c r="E1" s="171" t="s">
        <v>617</v>
      </c>
      <c r="F1" s="159"/>
      <c r="J1" s="193"/>
      <c r="K1" s="1"/>
      <c r="L1" s="1"/>
      <c r="M1" s="1"/>
    </row>
    <row r="2" spans="1:13">
      <c r="A2" s="1"/>
      <c r="F2" s="159"/>
      <c r="G2" s="171"/>
      <c r="H2" s="171"/>
      <c r="I2" s="159"/>
      <c r="K2" s="1"/>
      <c r="L2" s="1"/>
      <c r="M2" s="1"/>
    </row>
    <row r="3" spans="1:13" ht="15">
      <c r="A3" s="1"/>
      <c r="E3" s="172" t="s">
        <v>330</v>
      </c>
      <c r="G3" s="172"/>
      <c r="H3" s="172"/>
      <c r="I3" s="173"/>
      <c r="K3" s="1"/>
      <c r="L3" s="1"/>
      <c r="M3" s="1"/>
    </row>
    <row r="4" spans="1:13">
      <c r="A4" s="1"/>
      <c r="F4" s="159"/>
      <c r="G4" s="171"/>
      <c r="H4" s="171"/>
      <c r="I4" s="159"/>
      <c r="K4" s="1"/>
      <c r="L4" s="1"/>
      <c r="M4" s="1"/>
    </row>
    <row r="5" spans="1:13">
      <c r="A5" s="1"/>
      <c r="D5" s="174" t="s">
        <v>189</v>
      </c>
      <c r="E5" t="s">
        <v>207</v>
      </c>
      <c r="M5" s="1"/>
    </row>
    <row r="6" spans="1:13">
      <c r="A6" s="1"/>
      <c r="D6" s="174" t="s">
        <v>190</v>
      </c>
      <c r="E6" t="s">
        <v>208</v>
      </c>
      <c r="M6" s="1"/>
    </row>
    <row r="7" spans="1:13">
      <c r="A7" s="1"/>
      <c r="D7" s="174" t="s">
        <v>305</v>
      </c>
      <c r="E7" t="s">
        <v>309</v>
      </c>
      <c r="M7" s="1"/>
    </row>
    <row r="8" spans="1:13">
      <c r="A8" s="1"/>
      <c r="D8" s="174" t="s">
        <v>191</v>
      </c>
      <c r="E8" s="438" t="s">
        <v>718</v>
      </c>
      <c r="M8" s="1"/>
    </row>
    <row r="9" spans="1:13">
      <c r="A9" s="1"/>
      <c r="D9" s="174"/>
      <c r="E9" s="175"/>
      <c r="M9" s="1"/>
    </row>
    <row r="10" spans="1:13" ht="15">
      <c r="A10" s="191" t="s">
        <v>594</v>
      </c>
      <c r="B10" s="2"/>
      <c r="C10" s="2"/>
      <c r="D10" s="3"/>
      <c r="E10" s="2"/>
      <c r="F10" s="2"/>
      <c r="G10" s="2"/>
      <c r="H10" s="2"/>
      <c r="I10" s="2"/>
      <c r="J10" s="2"/>
      <c r="K10" s="2"/>
      <c r="L10" s="1"/>
      <c r="M10" s="1"/>
    </row>
    <row r="11" spans="1:13">
      <c r="A11" s="4"/>
      <c r="B11" s="4"/>
      <c r="C11" s="4"/>
      <c r="D11" s="5"/>
      <c r="E11" s="4"/>
      <c r="F11" s="4"/>
      <c r="G11" s="4"/>
      <c r="H11" s="4"/>
      <c r="I11" s="4"/>
      <c r="J11" s="2"/>
      <c r="K11" s="2"/>
      <c r="L11" s="46"/>
      <c r="M11" s="46"/>
    </row>
    <row r="12" spans="1:13">
      <c r="A12" s="6" t="s">
        <v>136</v>
      </c>
      <c r="B12" s="47">
        <v>8760</v>
      </c>
      <c r="C12" s="6" t="s">
        <v>137</v>
      </c>
      <c r="D12" s="48"/>
      <c r="E12" s="6"/>
      <c r="F12" s="2"/>
      <c r="G12" s="2"/>
      <c r="H12" s="2"/>
      <c r="I12" s="2"/>
      <c r="J12" s="2"/>
      <c r="K12" s="2"/>
      <c r="L12" s="46"/>
      <c r="M12" s="46"/>
    </row>
    <row r="13" spans="1:13">
      <c r="A13" s="7" t="s">
        <v>109</v>
      </c>
      <c r="B13" s="49">
        <v>6000</v>
      </c>
      <c r="C13" s="2" t="s">
        <v>115</v>
      </c>
      <c r="D13" s="275"/>
      <c r="E13" s="2"/>
      <c r="F13" s="2"/>
      <c r="G13" s="276"/>
      <c r="H13" s="276"/>
      <c r="I13" s="276"/>
      <c r="J13" s="276"/>
      <c r="K13" s="2"/>
      <c r="L13" s="46"/>
      <c r="M13" s="46"/>
    </row>
    <row r="14" spans="1:13" ht="13.5">
      <c r="A14" s="78" t="s">
        <v>203</v>
      </c>
      <c r="B14" s="81">
        <v>60</v>
      </c>
      <c r="C14" s="82" t="s">
        <v>155</v>
      </c>
      <c r="D14" s="80">
        <f>B14+460</f>
        <v>520</v>
      </c>
      <c r="E14" s="82" t="s">
        <v>156</v>
      </c>
      <c r="F14" s="2"/>
      <c r="G14" s="276"/>
      <c r="H14" s="276"/>
      <c r="I14" s="276"/>
      <c r="J14" s="276"/>
      <c r="K14" s="2"/>
      <c r="L14" s="46"/>
      <c r="M14" s="46"/>
    </row>
    <row r="15" spans="1:13" ht="13.5">
      <c r="A15" s="78" t="s">
        <v>204</v>
      </c>
      <c r="B15" s="80">
        <v>909.8</v>
      </c>
      <c r="C15" s="78" t="s">
        <v>157</v>
      </c>
      <c r="D15" s="3"/>
      <c r="E15" s="2"/>
      <c r="F15" s="2"/>
      <c r="G15" s="276"/>
      <c r="H15" s="276"/>
      <c r="I15" s="276"/>
      <c r="J15" s="276"/>
      <c r="K15" s="2"/>
      <c r="L15" s="46"/>
      <c r="M15" s="46"/>
    </row>
    <row r="16" spans="1:13" ht="13.5">
      <c r="A16" s="78" t="s">
        <v>201</v>
      </c>
      <c r="B16" s="83">
        <v>0.5</v>
      </c>
      <c r="C16" s="79" t="s">
        <v>0</v>
      </c>
      <c r="D16" s="3"/>
      <c r="E16" s="2"/>
      <c r="F16" s="2"/>
      <c r="G16" s="276"/>
      <c r="H16" s="276"/>
      <c r="I16" s="276"/>
      <c r="J16" s="276"/>
      <c r="K16" s="2"/>
      <c r="L16" s="46"/>
      <c r="M16" s="46"/>
    </row>
    <row r="17" spans="1:13" ht="13.5">
      <c r="A17" s="78" t="s">
        <v>116</v>
      </c>
      <c r="B17" s="80">
        <v>500</v>
      </c>
      <c r="C17" s="78" t="s">
        <v>157</v>
      </c>
      <c r="D17" s="3"/>
      <c r="E17" s="2"/>
      <c r="F17" s="2"/>
      <c r="G17" s="276"/>
      <c r="H17" s="276"/>
      <c r="I17" s="276"/>
      <c r="J17" s="276"/>
      <c r="K17" s="2"/>
      <c r="L17" s="46"/>
      <c r="M17" s="46"/>
    </row>
    <row r="18" spans="1:13" ht="13.5">
      <c r="A18" s="6" t="s">
        <v>86</v>
      </c>
      <c r="B18" s="50">
        <f>(B13*B17*60)/1000000</f>
        <v>180</v>
      </c>
      <c r="C18" s="7" t="s">
        <v>88</v>
      </c>
      <c r="D18" s="3">
        <f>(B13*60*8760)*0.5/1000000</f>
        <v>1576.8</v>
      </c>
      <c r="E18" s="7" t="s">
        <v>329</v>
      </c>
      <c r="F18" s="2"/>
      <c r="G18" s="277"/>
      <c r="H18" s="278"/>
      <c r="I18" s="275"/>
      <c r="J18" s="278"/>
      <c r="K18" s="2"/>
      <c r="L18" s="46"/>
      <c r="M18" s="46"/>
    </row>
    <row r="19" spans="1:13">
      <c r="A19" s="8"/>
      <c r="B19" s="9"/>
      <c r="C19" s="8"/>
      <c r="D19" s="10"/>
      <c r="E19" s="11"/>
      <c r="F19" s="11"/>
      <c r="G19" s="11"/>
      <c r="H19" s="11"/>
      <c r="I19" s="11"/>
      <c r="J19" s="2"/>
      <c r="K19" s="2"/>
      <c r="L19" s="46"/>
      <c r="M19" s="46"/>
    </row>
    <row r="20" spans="1:13" ht="13.5">
      <c r="A20" s="12" t="s">
        <v>139</v>
      </c>
      <c r="B20" s="13"/>
      <c r="C20" s="13"/>
      <c r="D20" s="3"/>
      <c r="E20" s="2"/>
      <c r="F20" s="2"/>
      <c r="G20" s="46"/>
      <c r="H20" s="2"/>
      <c r="I20" s="2"/>
      <c r="J20" s="2"/>
      <c r="K20" s="2"/>
      <c r="L20" s="46"/>
      <c r="M20" s="46"/>
    </row>
    <row r="21" spans="1:13">
      <c r="A21" s="12"/>
      <c r="B21" s="13"/>
      <c r="C21" s="13"/>
      <c r="D21" s="3"/>
      <c r="E21" s="2"/>
      <c r="F21" s="2"/>
      <c r="G21" s="46"/>
      <c r="H21" s="2"/>
      <c r="I21" s="2"/>
      <c r="J21" s="2"/>
      <c r="K21" s="2"/>
      <c r="L21" s="46"/>
      <c r="M21" s="46"/>
    </row>
    <row r="22" spans="1:13" ht="13.5">
      <c r="A22" s="14" t="s">
        <v>140</v>
      </c>
      <c r="B22" s="51">
        <v>49.596761999999998</v>
      </c>
      <c r="C22" s="38" t="s">
        <v>2</v>
      </c>
      <c r="D22" s="3"/>
      <c r="E22" s="2"/>
      <c r="F22" s="2"/>
      <c r="G22" s="46"/>
      <c r="H22" s="2"/>
      <c r="I22" s="2"/>
      <c r="J22" s="2"/>
      <c r="K22" s="2"/>
      <c r="L22" s="46"/>
      <c r="M22" s="46"/>
    </row>
    <row r="23" spans="1:13" ht="13.5">
      <c r="A23" s="14" t="s">
        <v>141</v>
      </c>
      <c r="B23" s="42">
        <f>I35</f>
        <v>3.0127658251753999</v>
      </c>
      <c r="C23" s="14" t="s">
        <v>1</v>
      </c>
      <c r="D23" s="52">
        <f>B23*4.38</f>
        <v>13.195914314268251</v>
      </c>
      <c r="E23" s="2" t="s">
        <v>9</v>
      </c>
      <c r="F23" s="2"/>
      <c r="G23" s="288"/>
      <c r="H23" s="2"/>
      <c r="I23" s="284"/>
      <c r="J23" s="2"/>
      <c r="K23" s="2"/>
      <c r="L23" s="46"/>
      <c r="M23" s="46"/>
    </row>
    <row r="24" spans="1:13" ht="13.5">
      <c r="A24" s="14" t="s">
        <v>142</v>
      </c>
      <c r="B24" s="42">
        <v>64.066000000000003</v>
      </c>
      <c r="C24" s="14"/>
      <c r="D24" s="2"/>
      <c r="E24" s="53"/>
      <c r="F24" s="2"/>
      <c r="G24" s="2"/>
      <c r="H24" s="2"/>
      <c r="I24" s="2"/>
      <c r="J24" s="2"/>
      <c r="K24" s="2"/>
      <c r="L24" s="46"/>
      <c r="M24" s="46"/>
    </row>
    <row r="25" spans="1:13" ht="25.5">
      <c r="A25" s="15"/>
      <c r="B25" s="16"/>
      <c r="C25" s="15"/>
      <c r="D25" s="17"/>
      <c r="E25" s="17"/>
      <c r="F25" s="18"/>
      <c r="G25" s="77" t="s">
        <v>143</v>
      </c>
      <c r="H25" s="24"/>
      <c r="I25" s="24"/>
      <c r="J25" s="2"/>
      <c r="K25" s="2"/>
      <c r="L25" s="46"/>
      <c r="M25" s="46"/>
    </row>
    <row r="26" spans="1:13" ht="13.5">
      <c r="A26" s="19"/>
      <c r="B26" s="20"/>
      <c r="C26" s="19"/>
      <c r="D26" s="21"/>
      <c r="E26" s="22"/>
      <c r="F26" s="23" t="s">
        <v>3</v>
      </c>
      <c r="G26" s="23" t="s">
        <v>102</v>
      </c>
      <c r="H26" s="24" t="s">
        <v>31</v>
      </c>
      <c r="I26" s="24" t="s">
        <v>138</v>
      </c>
      <c r="J26" s="287"/>
      <c r="K26" s="2"/>
      <c r="L26" s="287"/>
      <c r="M26" s="2"/>
    </row>
    <row r="27" spans="1:13">
      <c r="A27" s="20" t="s">
        <v>0</v>
      </c>
      <c r="B27" s="20"/>
      <c r="C27" s="19" t="s">
        <v>0</v>
      </c>
      <c r="D27" s="22" t="s">
        <v>4</v>
      </c>
      <c r="E27" s="25" t="s">
        <v>5</v>
      </c>
      <c r="F27" s="23" t="s">
        <v>6</v>
      </c>
      <c r="G27" s="23" t="s">
        <v>31</v>
      </c>
      <c r="H27" s="26" t="s">
        <v>5</v>
      </c>
      <c r="I27" s="27" t="s">
        <v>30</v>
      </c>
      <c r="J27" s="2"/>
      <c r="K27" s="2"/>
      <c r="L27" s="2"/>
      <c r="M27" s="2"/>
    </row>
    <row r="28" spans="1:13" ht="13.5">
      <c r="A28" s="28" t="s">
        <v>7</v>
      </c>
      <c r="B28" s="29"/>
      <c r="C28" s="29" t="s">
        <v>40</v>
      </c>
      <c r="D28" s="30" t="s">
        <v>8</v>
      </c>
      <c r="E28" s="30" t="s">
        <v>144</v>
      </c>
      <c r="F28" s="31" t="s">
        <v>39</v>
      </c>
      <c r="G28" s="32" t="s">
        <v>32</v>
      </c>
      <c r="H28" s="33" t="s">
        <v>33</v>
      </c>
      <c r="I28" s="33" t="s">
        <v>103</v>
      </c>
      <c r="J28" s="2"/>
      <c r="K28" s="46"/>
      <c r="L28" s="2"/>
      <c r="M28" s="2"/>
    </row>
    <row r="29" spans="1:13">
      <c r="A29" s="7" t="s">
        <v>18</v>
      </c>
      <c r="B29" s="34"/>
      <c r="C29" s="3" t="s">
        <v>48</v>
      </c>
      <c r="D29" s="54">
        <v>76.13</v>
      </c>
      <c r="E29" s="54">
        <v>0.58299999999999996</v>
      </c>
      <c r="F29" s="55">
        <v>0.997</v>
      </c>
      <c r="G29" s="56">
        <v>2</v>
      </c>
      <c r="H29" s="54">
        <f t="shared" ref="H29:H34" si="0">E29*F29*G29</f>
        <v>1.1625019999999999</v>
      </c>
      <c r="I29" s="57">
        <f t="shared" ref="I29:I34" si="1">(((H29/1000000)*$B$13*64.07)/(0.7302*$D$14))*60</f>
        <v>7.0616430510081526E-2</v>
      </c>
      <c r="J29" s="35"/>
      <c r="K29" s="46"/>
      <c r="L29" s="2"/>
      <c r="M29" s="2"/>
    </row>
    <row r="30" spans="1:13">
      <c r="A30" s="7" t="s">
        <v>20</v>
      </c>
      <c r="B30" s="34"/>
      <c r="C30" s="3" t="s">
        <v>50</v>
      </c>
      <c r="D30" s="54">
        <v>60.07</v>
      </c>
      <c r="E30" s="54">
        <v>0.49</v>
      </c>
      <c r="F30" s="55">
        <v>0.997</v>
      </c>
      <c r="G30" s="56">
        <v>1</v>
      </c>
      <c r="H30" s="54">
        <f t="shared" si="0"/>
        <v>0.48852999999999996</v>
      </c>
      <c r="I30" s="57">
        <f t="shared" si="1"/>
        <v>2.9675858447632892E-2</v>
      </c>
      <c r="J30" s="35"/>
      <c r="K30" s="46"/>
      <c r="L30" s="2"/>
      <c r="M30" s="2"/>
    </row>
    <row r="31" spans="1:13">
      <c r="A31" s="7" t="s">
        <v>23</v>
      </c>
      <c r="B31" s="7"/>
      <c r="C31" s="3" t="s">
        <v>57</v>
      </c>
      <c r="D31" s="54">
        <v>62.13</v>
      </c>
      <c r="E31" s="54">
        <v>7.82</v>
      </c>
      <c r="F31" s="55">
        <v>0.997</v>
      </c>
      <c r="G31" s="56">
        <v>1</v>
      </c>
      <c r="H31" s="54">
        <f t="shared" si="0"/>
        <v>7.7965400000000002</v>
      </c>
      <c r="I31" s="57">
        <f t="shared" si="1"/>
        <v>0.47360247563365143</v>
      </c>
      <c r="J31" s="35"/>
      <c r="K31" s="46"/>
      <c r="L31" s="2"/>
      <c r="M31" s="2"/>
    </row>
    <row r="32" spans="1:13">
      <c r="A32" s="7" t="s">
        <v>24</v>
      </c>
      <c r="B32" s="7"/>
      <c r="C32" s="3" t="s">
        <v>58</v>
      </c>
      <c r="D32" s="54">
        <v>62.13</v>
      </c>
      <c r="E32" s="54">
        <v>2.2799999999999998</v>
      </c>
      <c r="F32" s="55">
        <v>0.997</v>
      </c>
      <c r="G32" s="56">
        <v>1</v>
      </c>
      <c r="H32" s="54">
        <f t="shared" si="0"/>
        <v>2.2731599999999998</v>
      </c>
      <c r="I32" s="57">
        <f t="shared" si="1"/>
        <v>0.13808358624612854</v>
      </c>
      <c r="J32" s="35"/>
      <c r="K32" s="46"/>
      <c r="L32" s="2"/>
      <c r="M32" s="2"/>
    </row>
    <row r="33" spans="1:13">
      <c r="A33" s="7" t="s">
        <v>26</v>
      </c>
      <c r="B33" s="7"/>
      <c r="C33" s="58" t="s">
        <v>62</v>
      </c>
      <c r="D33" s="54">
        <v>34.08</v>
      </c>
      <c r="E33" s="54">
        <v>35.5</v>
      </c>
      <c r="F33" s="55">
        <v>0.997</v>
      </c>
      <c r="G33" s="56">
        <v>1</v>
      </c>
      <c r="H33" s="54">
        <f t="shared" si="0"/>
        <v>35.393500000000003</v>
      </c>
      <c r="I33" s="57">
        <f t="shared" si="1"/>
        <v>2.1499856630427914</v>
      </c>
      <c r="J33" s="35"/>
      <c r="K33" s="46"/>
      <c r="L33" s="2"/>
      <c r="M33" s="2"/>
    </row>
    <row r="34" spans="1:13">
      <c r="A34" s="36" t="s">
        <v>28</v>
      </c>
      <c r="B34" s="36"/>
      <c r="C34" s="5" t="s">
        <v>66</v>
      </c>
      <c r="D34" s="59">
        <v>48.11</v>
      </c>
      <c r="E34" s="59">
        <v>2.4900000000000002</v>
      </c>
      <c r="F34" s="60">
        <v>0.997</v>
      </c>
      <c r="G34" s="61">
        <v>1</v>
      </c>
      <c r="H34" s="54">
        <f t="shared" si="0"/>
        <v>2.4825300000000001</v>
      </c>
      <c r="I34" s="57">
        <f t="shared" si="1"/>
        <v>0.15080181129511405</v>
      </c>
      <c r="J34" s="35"/>
      <c r="K34" s="46"/>
      <c r="L34" s="2"/>
      <c r="M34" s="2"/>
    </row>
    <row r="35" spans="1:13" ht="13.5">
      <c r="A35" s="70"/>
      <c r="B35" s="71"/>
      <c r="C35" s="72"/>
      <c r="D35" s="73"/>
      <c r="E35" s="73"/>
      <c r="F35" s="74"/>
      <c r="G35" s="75" t="s">
        <v>145</v>
      </c>
      <c r="H35" s="76">
        <f>SUM(H29:H34)</f>
        <v>49.596761999999998</v>
      </c>
      <c r="I35" s="76">
        <f>SUM(I29:I34)</f>
        <v>3.0127658251753999</v>
      </c>
      <c r="J35" s="2"/>
      <c r="K35" s="46"/>
      <c r="L35" s="2"/>
      <c r="M35" s="2"/>
    </row>
    <row r="36" spans="1:13" ht="13.5">
      <c r="A36" s="12" t="s">
        <v>146</v>
      </c>
      <c r="B36" s="13"/>
      <c r="C36" s="13"/>
      <c r="D36" s="3"/>
      <c r="E36" s="2"/>
      <c r="F36" s="37"/>
      <c r="G36" s="2"/>
      <c r="H36" s="2"/>
      <c r="I36" s="2"/>
      <c r="J36" s="2"/>
      <c r="K36" s="46"/>
      <c r="L36" s="34"/>
      <c r="M36" s="34"/>
    </row>
    <row r="37" spans="1:13" ht="14.25">
      <c r="A37" s="14" t="s">
        <v>147</v>
      </c>
      <c r="B37" s="37">
        <v>17</v>
      </c>
      <c r="C37" s="2" t="s">
        <v>154</v>
      </c>
      <c r="D37" s="3"/>
      <c r="E37" s="2"/>
      <c r="F37" s="2"/>
      <c r="G37" s="2"/>
      <c r="H37" s="2"/>
      <c r="I37" s="2"/>
      <c r="J37" s="2"/>
      <c r="K37" s="46"/>
      <c r="L37" s="34"/>
      <c r="M37" s="2"/>
    </row>
    <row r="38" spans="1:13">
      <c r="A38" s="38" t="s">
        <v>85</v>
      </c>
      <c r="B38" s="39">
        <f>B37*D18</f>
        <v>26805.599999999999</v>
      </c>
      <c r="C38" s="38" t="s">
        <v>302</v>
      </c>
      <c r="D38" s="39">
        <f>B38/2000</f>
        <v>13.402799999999999</v>
      </c>
      <c r="E38" s="2" t="s">
        <v>9</v>
      </c>
      <c r="F38" s="2"/>
      <c r="G38" s="284"/>
      <c r="H38" s="2"/>
      <c r="I38" s="39"/>
      <c r="J38" s="2"/>
      <c r="K38" s="46"/>
      <c r="L38" s="2"/>
      <c r="M38" s="2"/>
    </row>
    <row r="39" spans="1:13">
      <c r="A39" s="38"/>
      <c r="B39" s="40">
        <f>B38/B12</f>
        <v>3.06</v>
      </c>
      <c r="C39" s="13" t="s">
        <v>393</v>
      </c>
      <c r="D39" s="45"/>
      <c r="E39" s="2"/>
      <c r="F39" s="2" t="s">
        <v>0</v>
      </c>
      <c r="G39" s="283"/>
      <c r="H39" s="2"/>
      <c r="I39" s="2"/>
      <c r="J39" s="2"/>
      <c r="K39" s="46"/>
      <c r="L39" s="2"/>
      <c r="M39" s="2"/>
    </row>
    <row r="40" spans="1:13" ht="13.5">
      <c r="A40" s="12" t="s">
        <v>148</v>
      </c>
      <c r="B40" s="13"/>
      <c r="C40" s="13"/>
      <c r="D40" s="45"/>
      <c r="E40" s="2"/>
      <c r="F40" s="2"/>
      <c r="G40" s="2"/>
      <c r="H40" s="2"/>
      <c r="I40" s="2"/>
      <c r="J40" s="2"/>
      <c r="K40" s="46"/>
      <c r="L40" s="2"/>
      <c r="M40" s="2"/>
    </row>
    <row r="41" spans="1:13" ht="14.25">
      <c r="A41" s="14" t="s">
        <v>149</v>
      </c>
      <c r="B41" s="62">
        <v>0.06</v>
      </c>
      <c r="C41" s="14" t="s">
        <v>99</v>
      </c>
      <c r="D41" s="45"/>
      <c r="E41" s="2"/>
      <c r="F41" s="2"/>
      <c r="G41" s="2"/>
      <c r="H41" s="2"/>
      <c r="I41" s="2"/>
      <c r="J41" s="2"/>
      <c r="K41" s="46"/>
      <c r="L41" s="2"/>
      <c r="M41" s="2"/>
    </row>
    <row r="42" spans="1:13" ht="13.5">
      <c r="A42" s="38" t="s">
        <v>150</v>
      </c>
      <c r="B42" s="63">
        <f>B18*B41</f>
        <v>10.799999999999999</v>
      </c>
      <c r="C42" s="13" t="s">
        <v>1</v>
      </c>
      <c r="D42" s="53">
        <f>B42*4.38</f>
        <v>47.303999999999995</v>
      </c>
      <c r="E42" s="2" t="s">
        <v>9</v>
      </c>
      <c r="F42" s="39"/>
      <c r="G42" s="284"/>
      <c r="H42" s="2"/>
      <c r="I42" s="2"/>
      <c r="J42" s="39"/>
      <c r="K42" s="46"/>
      <c r="L42" s="46"/>
      <c r="M42" s="46"/>
    </row>
    <row r="43" spans="1:13">
      <c r="A43" s="6"/>
      <c r="B43" s="2"/>
      <c r="C43" s="2"/>
      <c r="D43" s="2"/>
      <c r="E43" s="2" t="s">
        <v>0</v>
      </c>
      <c r="F43" s="2"/>
      <c r="G43" s="283"/>
      <c r="H43" s="2"/>
      <c r="I43" s="2"/>
      <c r="J43" s="39"/>
      <c r="K43" s="46"/>
      <c r="L43" s="46"/>
      <c r="M43" s="46"/>
    </row>
    <row r="44" spans="1:13">
      <c r="A44" s="12" t="s">
        <v>100</v>
      </c>
      <c r="B44" s="13"/>
      <c r="C44" s="13"/>
      <c r="D44" s="2"/>
      <c r="E44" s="2" t="s">
        <v>0</v>
      </c>
      <c r="F44" s="2"/>
      <c r="G44" s="2"/>
      <c r="H44" s="2"/>
      <c r="I44" s="2"/>
      <c r="J44" s="39"/>
      <c r="K44" s="46"/>
      <c r="L44" s="46"/>
      <c r="M44" s="46"/>
    </row>
    <row r="45" spans="1:13" ht="14.25">
      <c r="A45" s="38" t="s">
        <v>151</v>
      </c>
      <c r="B45" s="64">
        <v>0.2</v>
      </c>
      <c r="C45" s="14" t="s">
        <v>99</v>
      </c>
      <c r="D45" s="2"/>
      <c r="E45" s="2" t="s">
        <v>0</v>
      </c>
      <c r="F45" s="2"/>
      <c r="G45" s="2"/>
      <c r="H45" s="2"/>
      <c r="I45" s="2"/>
      <c r="J45" s="39"/>
      <c r="K45" s="46"/>
      <c r="L45" s="46"/>
      <c r="M45" s="46"/>
    </row>
    <row r="46" spans="1:13">
      <c r="A46" s="38" t="s">
        <v>101</v>
      </c>
      <c r="B46" s="63">
        <f>B18*B45</f>
        <v>36</v>
      </c>
      <c r="C46" s="13" t="s">
        <v>1</v>
      </c>
      <c r="D46" s="53">
        <f>B46*4.38</f>
        <v>157.68</v>
      </c>
      <c r="E46" s="2" t="s">
        <v>9</v>
      </c>
      <c r="F46" s="41"/>
      <c r="G46" s="284"/>
      <c r="H46" s="2"/>
      <c r="I46" s="2"/>
      <c r="J46" s="39"/>
      <c r="K46" s="290"/>
      <c r="L46" s="46"/>
      <c r="M46" s="46"/>
    </row>
    <row r="47" spans="1:13">
      <c r="A47" s="6"/>
      <c r="B47" s="2"/>
      <c r="C47" s="2"/>
      <c r="D47" s="53"/>
      <c r="E47" s="2" t="s">
        <v>0</v>
      </c>
      <c r="F47" s="2"/>
      <c r="G47" s="283"/>
      <c r="H47" s="13"/>
      <c r="I47" s="42"/>
      <c r="J47" s="14"/>
      <c r="K47" s="46"/>
      <c r="L47" s="46"/>
      <c r="M47" s="46"/>
    </row>
    <row r="48" spans="1:13">
      <c r="A48" s="12" t="s">
        <v>89</v>
      </c>
      <c r="B48" s="40"/>
      <c r="C48" s="13"/>
      <c r="D48" s="53"/>
      <c r="E48" s="2" t="s">
        <v>0</v>
      </c>
      <c r="F48" s="2"/>
      <c r="G48" s="2"/>
      <c r="H48" s="13"/>
      <c r="I48" s="42"/>
      <c r="J48" s="14"/>
      <c r="K48" s="46"/>
      <c r="L48" s="46"/>
      <c r="M48" s="46"/>
    </row>
    <row r="49" spans="1:14" ht="13.5">
      <c r="A49" s="14" t="s">
        <v>152</v>
      </c>
      <c r="B49" s="65">
        <v>595</v>
      </c>
      <c r="C49" s="38" t="s">
        <v>2</v>
      </c>
      <c r="D49" s="53"/>
      <c r="E49" s="2" t="s">
        <v>0</v>
      </c>
      <c r="F49" s="2"/>
      <c r="G49" s="2"/>
      <c r="H49" s="2"/>
      <c r="I49" s="2"/>
      <c r="J49" s="2"/>
      <c r="K49" s="290"/>
      <c r="L49" s="46"/>
      <c r="M49" s="46"/>
    </row>
    <row r="50" spans="1:14">
      <c r="A50" s="38" t="s">
        <v>90</v>
      </c>
      <c r="B50" s="52">
        <v>86.18</v>
      </c>
      <c r="C50" s="38" t="s">
        <v>91</v>
      </c>
      <c r="D50" s="53"/>
      <c r="E50" s="2" t="s">
        <v>0</v>
      </c>
      <c r="F50" s="2"/>
      <c r="G50" s="2"/>
      <c r="H50" s="2"/>
      <c r="I50" s="2"/>
      <c r="J50" s="2"/>
      <c r="K50" s="46"/>
      <c r="L50" s="46"/>
      <c r="M50" s="46"/>
    </row>
    <row r="51" spans="1:14">
      <c r="A51" s="14" t="s">
        <v>92</v>
      </c>
      <c r="B51" s="43">
        <v>0.98</v>
      </c>
      <c r="C51" s="13"/>
      <c r="D51" s="53"/>
      <c r="E51" s="2" t="s">
        <v>0</v>
      </c>
      <c r="F51" s="2"/>
      <c r="G51" s="2"/>
      <c r="H51" s="2"/>
      <c r="I51" s="2"/>
      <c r="J51" s="2"/>
      <c r="K51" s="46"/>
      <c r="L51" s="46"/>
      <c r="M51" s="46"/>
    </row>
    <row r="52" spans="1:14">
      <c r="A52" s="38" t="s">
        <v>93</v>
      </c>
      <c r="B52" s="66">
        <f>(B50*(B49/1000000)*B13/(0.7302*$D$14))*60</f>
        <v>48.616174704506683</v>
      </c>
      <c r="C52" s="14" t="s">
        <v>1</v>
      </c>
      <c r="D52" s="53">
        <f>B52*4.38</f>
        <v>212.93884520573926</v>
      </c>
      <c r="E52" s="2" t="s">
        <v>9</v>
      </c>
      <c r="F52" s="21" t="s">
        <v>193</v>
      </c>
      <c r="G52" s="2"/>
      <c r="H52" s="66"/>
      <c r="I52" s="2"/>
      <c r="J52" s="21"/>
      <c r="K52" s="46"/>
      <c r="L52" s="46"/>
      <c r="M52" s="46"/>
    </row>
    <row r="53" spans="1:14">
      <c r="A53" s="38" t="s">
        <v>94</v>
      </c>
      <c r="B53" s="42">
        <f>(1-B51)*B52</f>
        <v>0.97232349409013452</v>
      </c>
      <c r="C53" s="14" t="s">
        <v>1</v>
      </c>
      <c r="D53" s="39">
        <f>B53*4.38</f>
        <v>4.2587769041147894</v>
      </c>
      <c r="E53" s="2" t="s">
        <v>9</v>
      </c>
      <c r="F53" s="21" t="s">
        <v>192</v>
      </c>
      <c r="G53" s="2"/>
      <c r="H53" s="285"/>
      <c r="I53" s="2"/>
      <c r="J53" s="283"/>
      <c r="K53" s="46"/>
      <c r="L53" s="46"/>
      <c r="M53" s="46"/>
    </row>
    <row r="54" spans="1:14">
      <c r="A54" s="38"/>
      <c r="B54" s="43"/>
      <c r="C54" s="38"/>
      <c r="D54" s="53"/>
      <c r="E54" s="2" t="s">
        <v>0</v>
      </c>
      <c r="F54" s="2"/>
      <c r="G54" s="2"/>
      <c r="H54" s="66"/>
      <c r="I54" s="2"/>
      <c r="J54" s="2"/>
      <c r="K54" s="46"/>
      <c r="L54" s="46"/>
      <c r="M54" s="46"/>
    </row>
    <row r="55" spans="1:14">
      <c r="A55" s="12" t="s">
        <v>95</v>
      </c>
      <c r="B55" s="42"/>
      <c r="C55" s="14"/>
      <c r="D55" s="53"/>
      <c r="E55" s="2" t="s">
        <v>0</v>
      </c>
      <c r="F55" s="2"/>
      <c r="G55" s="2"/>
      <c r="H55" s="285"/>
      <c r="I55" s="2"/>
      <c r="J55" s="283"/>
      <c r="K55" s="46"/>
      <c r="L55" s="46"/>
      <c r="M55" s="46"/>
    </row>
    <row r="56" spans="1:14" ht="13.5">
      <c r="A56" s="14" t="s">
        <v>152</v>
      </c>
      <c r="B56" s="65">
        <v>595</v>
      </c>
      <c r="C56" s="38" t="s">
        <v>2</v>
      </c>
      <c r="D56" s="53"/>
      <c r="E56" s="2" t="s">
        <v>0</v>
      </c>
      <c r="F56" s="2"/>
      <c r="G56" s="2"/>
      <c r="H56" s="2"/>
      <c r="I56" s="2"/>
      <c r="J56" s="2"/>
      <c r="K56" s="46"/>
      <c r="L56" s="46"/>
      <c r="M56" s="46"/>
    </row>
    <row r="57" spans="1:14" ht="13.5">
      <c r="A57" s="14" t="s">
        <v>153</v>
      </c>
      <c r="B57" s="67">
        <v>0.39</v>
      </c>
      <c r="C57" s="38"/>
      <c r="D57" s="53"/>
      <c r="E57" s="2" t="s">
        <v>0</v>
      </c>
      <c r="F57" s="2"/>
      <c r="G57" s="2"/>
      <c r="H57" s="2"/>
      <c r="I57" s="2"/>
      <c r="J57" s="2"/>
      <c r="K57" s="46"/>
      <c r="L57" s="46"/>
      <c r="M57" s="46"/>
    </row>
    <row r="58" spans="1:14">
      <c r="A58" s="14" t="s">
        <v>96</v>
      </c>
      <c r="B58" s="68">
        <f>B57*B56</f>
        <v>232.05</v>
      </c>
      <c r="C58" s="38" t="s">
        <v>2</v>
      </c>
      <c r="D58" s="53"/>
      <c r="E58" s="2" t="s">
        <v>0</v>
      </c>
      <c r="F58" s="2"/>
      <c r="G58" s="2"/>
      <c r="H58" s="2"/>
      <c r="I58" s="2"/>
      <c r="J58" s="46"/>
      <c r="K58" s="46"/>
      <c r="L58" s="46"/>
      <c r="M58" s="46"/>
    </row>
    <row r="59" spans="1:14">
      <c r="A59" s="38" t="s">
        <v>90</v>
      </c>
      <c r="B59" s="52">
        <v>86.18</v>
      </c>
      <c r="C59" s="38" t="s">
        <v>91</v>
      </c>
      <c r="D59" s="53"/>
      <c r="E59" s="2" t="s">
        <v>0</v>
      </c>
      <c r="F59" s="2"/>
      <c r="G59" s="2"/>
      <c r="H59" s="2"/>
      <c r="I59" s="2"/>
      <c r="J59" s="46"/>
      <c r="L59" s="46"/>
      <c r="M59" s="46"/>
    </row>
    <row r="60" spans="1:14">
      <c r="A60" s="38" t="s">
        <v>97</v>
      </c>
      <c r="B60" s="66">
        <f>B57*B52</f>
        <v>18.960308134757607</v>
      </c>
      <c r="C60" s="14" t="s">
        <v>1</v>
      </c>
      <c r="D60" s="53"/>
      <c r="E60" s="2" t="s">
        <v>0</v>
      </c>
      <c r="F60" s="2"/>
      <c r="G60" s="2"/>
      <c r="H60" s="39"/>
      <c r="I60" s="2"/>
      <c r="J60" s="289"/>
      <c r="L60" s="46"/>
      <c r="M60" s="46"/>
      <c r="N60" s="282"/>
    </row>
    <row r="61" spans="1:14">
      <c r="A61" s="14" t="s">
        <v>92</v>
      </c>
      <c r="B61" s="43">
        <v>0.98</v>
      </c>
      <c r="C61" s="38" t="s">
        <v>331</v>
      </c>
      <c r="D61" s="53"/>
      <c r="E61" s="2" t="s">
        <v>0</v>
      </c>
      <c r="F61" s="2"/>
      <c r="G61" s="2"/>
      <c r="H61" s="2"/>
      <c r="I61" s="2"/>
      <c r="J61" s="46"/>
      <c r="L61" s="46"/>
      <c r="M61" s="46"/>
    </row>
    <row r="62" spans="1:14">
      <c r="A62" s="38" t="s">
        <v>95</v>
      </c>
      <c r="B62" s="68">
        <f>0.39*B52</f>
        <v>18.960308134757607</v>
      </c>
      <c r="C62" s="38" t="s">
        <v>1</v>
      </c>
      <c r="D62" s="53">
        <f>B62*4.38</f>
        <v>83.046149630238318</v>
      </c>
      <c r="E62" s="2" t="s">
        <v>9</v>
      </c>
      <c r="F62" s="21" t="s">
        <v>193</v>
      </c>
      <c r="G62" s="2"/>
      <c r="H62" s="2"/>
      <c r="I62" s="2"/>
      <c r="J62" s="46"/>
      <c r="L62" s="46"/>
      <c r="M62" s="46"/>
    </row>
    <row r="63" spans="1:14">
      <c r="A63" s="44" t="s">
        <v>98</v>
      </c>
      <c r="B63" s="286">
        <f>B60*(1-B61)</f>
        <v>0.3792061626951525</v>
      </c>
      <c r="C63" s="69" t="s">
        <v>1</v>
      </c>
      <c r="D63" s="284">
        <f>B63*4.38</f>
        <v>1.6609229926047679</v>
      </c>
      <c r="E63" s="4" t="s">
        <v>9</v>
      </c>
      <c r="F63" s="178" t="s">
        <v>194</v>
      </c>
      <c r="G63" s="4"/>
      <c r="H63" s="286"/>
      <c r="I63" s="4"/>
      <c r="J63" s="284"/>
      <c r="L63" s="46"/>
      <c r="M63" s="46"/>
    </row>
    <row r="64" spans="1:14" ht="25.5" customHeight="1">
      <c r="A64" s="758" t="s">
        <v>176</v>
      </c>
      <c r="B64" s="758"/>
      <c r="C64" s="758"/>
      <c r="D64" s="758"/>
      <c r="E64" s="758"/>
      <c r="F64" s="758"/>
      <c r="G64" s="758"/>
      <c r="H64" s="758"/>
      <c r="I64" s="758"/>
      <c r="J64" s="758"/>
      <c r="L64" s="46"/>
      <c r="M64" s="46"/>
    </row>
    <row r="65" spans="1:13">
      <c r="A65" s="163" t="s">
        <v>177</v>
      </c>
      <c r="B65" s="161"/>
      <c r="C65" s="162"/>
      <c r="D65" s="45"/>
      <c r="E65" s="2"/>
      <c r="F65" s="2"/>
      <c r="G65" s="2"/>
      <c r="H65" s="2"/>
      <c r="I65" s="2"/>
      <c r="J65" s="46"/>
      <c r="L65" s="46"/>
      <c r="M65" s="46"/>
    </row>
    <row r="66" spans="1:13">
      <c r="A66" s="164" t="s">
        <v>183</v>
      </c>
      <c r="B66" s="165"/>
      <c r="C66" s="166"/>
      <c r="D66" s="167"/>
      <c r="E66" s="2"/>
      <c r="F66" s="2"/>
      <c r="G66" s="2"/>
      <c r="H66" s="2"/>
      <c r="I66" s="2"/>
      <c r="J66" s="46"/>
      <c r="L66" s="46"/>
      <c r="M66" s="46"/>
    </row>
    <row r="67" spans="1:13">
      <c r="A67" s="164" t="s">
        <v>184</v>
      </c>
      <c r="B67" s="165"/>
      <c r="C67" s="166"/>
      <c r="D67" s="167"/>
      <c r="E67" s="2"/>
      <c r="F67" s="2"/>
      <c r="G67" s="2"/>
      <c r="H67" s="2"/>
      <c r="I67" s="2"/>
      <c r="J67" s="46"/>
      <c r="L67" s="46"/>
      <c r="M67" s="46"/>
    </row>
    <row r="68" spans="1:13" ht="27.75" customHeight="1">
      <c r="A68" s="759" t="s">
        <v>185</v>
      </c>
      <c r="B68" s="759"/>
      <c r="C68" s="759"/>
      <c r="D68" s="759"/>
      <c r="E68" s="759"/>
      <c r="F68" s="759"/>
      <c r="G68" s="759"/>
      <c r="H68" s="759"/>
      <c r="I68" s="759"/>
      <c r="J68" s="759"/>
      <c r="L68" s="46"/>
      <c r="M68" s="46"/>
    </row>
    <row r="69" spans="1:13">
      <c r="A69" s="160" t="s">
        <v>186</v>
      </c>
      <c r="B69" s="165"/>
      <c r="C69" s="166"/>
      <c r="D69" s="167"/>
      <c r="E69" s="2"/>
      <c r="F69" s="2"/>
      <c r="G69" s="2"/>
      <c r="H69" s="2"/>
      <c r="I69" s="2"/>
      <c r="J69" s="46"/>
      <c r="L69" s="46"/>
      <c r="M69" s="46"/>
    </row>
    <row r="70" spans="1:13">
      <c r="A70" s="164" t="s">
        <v>187</v>
      </c>
      <c r="B70" s="165"/>
      <c r="C70" s="166"/>
      <c r="D70" s="167"/>
      <c r="E70" s="2"/>
      <c r="F70" s="2"/>
      <c r="G70" s="2"/>
      <c r="H70" s="2"/>
      <c r="I70" s="2"/>
      <c r="J70" s="46"/>
      <c r="L70" s="46"/>
      <c r="M70" s="46"/>
    </row>
    <row r="71" spans="1:13">
      <c r="A71" s="168" t="s">
        <v>394</v>
      </c>
      <c r="B71" s="165"/>
      <c r="C71" s="166"/>
      <c r="D71" s="167"/>
      <c r="E71" s="2"/>
      <c r="F71" s="2"/>
      <c r="G71" s="2"/>
      <c r="H71" s="2"/>
      <c r="I71" s="2"/>
      <c r="J71" s="46"/>
      <c r="L71" s="46"/>
      <c r="M71" s="46"/>
    </row>
    <row r="72" spans="1:13">
      <c r="A72" s="164" t="s">
        <v>188</v>
      </c>
      <c r="B72" s="165"/>
      <c r="C72" s="166"/>
      <c r="D72" s="167"/>
      <c r="E72" s="2"/>
      <c r="F72" s="2"/>
      <c r="G72" s="2"/>
      <c r="H72" s="2"/>
      <c r="I72" s="2"/>
      <c r="J72" s="46"/>
      <c r="L72" s="46"/>
      <c r="M72" s="46"/>
    </row>
    <row r="73" spans="1:13">
      <c r="A73" s="194" t="s">
        <v>202</v>
      </c>
    </row>
    <row r="74" spans="1:13">
      <c r="A74" s="194" t="s">
        <v>205</v>
      </c>
    </row>
  </sheetData>
  <mergeCells count="2">
    <mergeCell ref="A64:J64"/>
    <mergeCell ref="A68:J68"/>
  </mergeCells>
  <phoneticPr fontId="0" type="noConversion"/>
  <pageMargins left="0.75" right="0.75" top="1" bottom="1" header="0.5" footer="0.5"/>
  <pageSetup scale="6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9338-0C21-4408-88A6-D689BEF270E3}">
  <dimension ref="A1:J80"/>
  <sheetViews>
    <sheetView topLeftCell="A24" zoomScale="120" zoomScaleNormal="120" zoomScaleSheetLayoutView="75" workbookViewId="0">
      <selection activeCell="F11" sqref="F11"/>
    </sheetView>
  </sheetViews>
  <sheetFormatPr defaultRowHeight="12.75"/>
  <cols>
    <col min="4" max="4" width="14" customWidth="1"/>
    <col min="5" max="5" width="10.7109375" customWidth="1"/>
  </cols>
  <sheetData>
    <row r="1" spans="1:7">
      <c r="E1" s="171" t="s">
        <v>617</v>
      </c>
      <c r="F1" s="159"/>
      <c r="G1" s="159"/>
    </row>
    <row r="2" spans="1:7">
      <c r="F2" s="159"/>
      <c r="G2" s="159"/>
    </row>
    <row r="3" spans="1:7">
      <c r="C3" s="174" t="s">
        <v>189</v>
      </c>
      <c r="D3" t="s">
        <v>207</v>
      </c>
    </row>
    <row r="4" spans="1:7">
      <c r="C4" s="174" t="s">
        <v>190</v>
      </c>
      <c r="D4" t="s">
        <v>208</v>
      </c>
    </row>
    <row r="5" spans="1:7">
      <c r="C5" s="174" t="s">
        <v>305</v>
      </c>
      <c r="D5" t="s">
        <v>309</v>
      </c>
    </row>
    <row r="6" spans="1:7">
      <c r="C6" s="174" t="s">
        <v>191</v>
      </c>
      <c r="D6" s="175" t="s">
        <v>718</v>
      </c>
    </row>
    <row r="7" spans="1:7">
      <c r="C7" s="174"/>
      <c r="D7" s="175"/>
    </row>
    <row r="8" spans="1:7">
      <c r="D8" s="174"/>
      <c r="E8" s="175"/>
    </row>
    <row r="9" spans="1:7" ht="15">
      <c r="E9" s="172" t="s">
        <v>293</v>
      </c>
    </row>
    <row r="10" spans="1:7">
      <c r="A10" s="196" t="s">
        <v>76</v>
      </c>
    </row>
    <row r="11" spans="1:7">
      <c r="A11" t="s">
        <v>292</v>
      </c>
    </row>
    <row r="12" spans="1:7">
      <c r="A12" t="s">
        <v>306</v>
      </c>
    </row>
    <row r="14" spans="1:7">
      <c r="A14" s="196" t="s">
        <v>256</v>
      </c>
    </row>
    <row r="15" spans="1:7" ht="14.25">
      <c r="A15" s="197" t="s">
        <v>288</v>
      </c>
      <c r="F15">
        <f>239.64</f>
        <v>239.64</v>
      </c>
      <c r="G15" t="s">
        <v>287</v>
      </c>
    </row>
    <row r="16" spans="1:7">
      <c r="F16">
        <f>F15/2000</f>
        <v>0.11982</v>
      </c>
      <c r="G16" t="s">
        <v>271</v>
      </c>
    </row>
    <row r="17" spans="1:10" ht="14.25">
      <c r="A17" t="s">
        <v>291</v>
      </c>
      <c r="F17" s="197">
        <f>F16*0.1</f>
        <v>1.1982E-2</v>
      </c>
      <c r="G17" t="s">
        <v>271</v>
      </c>
    </row>
    <row r="18" spans="1:10">
      <c r="J18" s="196"/>
    </row>
    <row r="19" spans="1:10">
      <c r="A19" t="s">
        <v>290</v>
      </c>
      <c r="F19" s="196">
        <f>2.5*F17</f>
        <v>2.9954999999999999E-2</v>
      </c>
      <c r="G19" t="s">
        <v>271</v>
      </c>
    </row>
    <row r="21" spans="1:10" s="223" customFormat="1" ht="11.25">
      <c r="A21" s="222" t="s">
        <v>340</v>
      </c>
    </row>
    <row r="22" spans="1:10">
      <c r="A22" s="222" t="s">
        <v>341</v>
      </c>
    </row>
    <row r="23" spans="1:10">
      <c r="A23" s="222"/>
    </row>
    <row r="25" spans="1:10" ht="15">
      <c r="A25" s="224" t="s">
        <v>296</v>
      </c>
    </row>
    <row r="27" spans="1:10">
      <c r="A27" s="196" t="s">
        <v>76</v>
      </c>
    </row>
    <row r="28" spans="1:10">
      <c r="A28" t="s">
        <v>294</v>
      </c>
    </row>
    <row r="29" spans="1:10">
      <c r="A29" t="s">
        <v>378</v>
      </c>
    </row>
    <row r="31" spans="1:10">
      <c r="A31" s="196" t="s">
        <v>256</v>
      </c>
    </row>
    <row r="32" spans="1:10" ht="14.25">
      <c r="A32" s="197" t="s">
        <v>295</v>
      </c>
      <c r="F32">
        <v>0.05</v>
      </c>
      <c r="G32" t="s">
        <v>271</v>
      </c>
    </row>
    <row r="33" spans="1:7" ht="14.25">
      <c r="A33" s="197" t="s">
        <v>379</v>
      </c>
      <c r="F33" s="179">
        <f>0.01*200/171</f>
        <v>1.1695906432748537E-2</v>
      </c>
      <c r="G33" t="s">
        <v>271</v>
      </c>
    </row>
    <row r="34" spans="1:7">
      <c r="F34" s="179"/>
    </row>
    <row r="35" spans="1:7">
      <c r="A35" t="s">
        <v>289</v>
      </c>
      <c r="F35" s="228">
        <f>SUM(F32:F33)</f>
        <v>6.169590643274854E-2</v>
      </c>
      <c r="G35" t="s">
        <v>271</v>
      </c>
    </row>
    <row r="37" spans="1:7">
      <c r="A37" s="222" t="s">
        <v>307</v>
      </c>
    </row>
    <row r="45" spans="1:7" ht="15">
      <c r="E45" s="172"/>
      <c r="G45" s="173"/>
    </row>
    <row r="46" spans="1:7">
      <c r="A46" s="196"/>
    </row>
    <row r="50" spans="1:7">
      <c r="A50" s="196"/>
    </row>
    <row r="54" spans="1:7" ht="15">
      <c r="E54" s="172"/>
      <c r="G54" s="173"/>
    </row>
    <row r="55" spans="1:7">
      <c r="A55" s="196"/>
    </row>
    <row r="59" spans="1:7">
      <c r="A59" s="196"/>
    </row>
    <row r="63" spans="1:7" ht="15">
      <c r="E63" s="172"/>
    </row>
    <row r="64" spans="1:7">
      <c r="F64" s="159"/>
    </row>
    <row r="65" spans="1:1">
      <c r="A65" s="196"/>
    </row>
    <row r="69" spans="1:1">
      <c r="A69" s="221"/>
    </row>
    <row r="71" spans="1:1">
      <c r="A71" s="196"/>
    </row>
    <row r="75" spans="1:1">
      <c r="A75" s="196"/>
    </row>
    <row r="79" spans="1:1">
      <c r="A79" s="196"/>
    </row>
    <row r="80" spans="1:1">
      <c r="A80" s="220"/>
    </row>
  </sheetData>
  <phoneticPr fontId="22" type="noConversion"/>
  <pageMargins left="0.75" right="0.75" top="1" bottom="1" header="0.5" footer="0.5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A93D-6613-4B23-93B3-8FDEFD927AFA}">
  <dimension ref="A1:K39"/>
  <sheetViews>
    <sheetView zoomScaleNormal="100" workbookViewId="0">
      <selection activeCell="I12" sqref="I12"/>
    </sheetView>
  </sheetViews>
  <sheetFormatPr defaultRowHeight="12.75"/>
  <cols>
    <col min="4" max="4" width="15.42578125" customWidth="1"/>
    <col min="9" max="9" width="11.5703125" customWidth="1"/>
  </cols>
  <sheetData>
    <row r="1" spans="1:11">
      <c r="E1" s="171" t="s">
        <v>617</v>
      </c>
      <c r="F1" s="159"/>
      <c r="I1" s="159"/>
    </row>
    <row r="2" spans="1:11">
      <c r="F2" s="159"/>
      <c r="G2" s="171"/>
      <c r="H2" s="171"/>
      <c r="I2" s="159"/>
    </row>
    <row r="3" spans="1:11" ht="15">
      <c r="E3" s="172" t="s">
        <v>298</v>
      </c>
      <c r="G3" s="172"/>
      <c r="H3" s="172"/>
      <c r="I3" s="173"/>
    </row>
    <row r="4" spans="1:11">
      <c r="F4" s="159"/>
      <c r="G4" s="171"/>
      <c r="H4" s="171"/>
      <c r="I4" s="159"/>
    </row>
    <row r="5" spans="1:11">
      <c r="C5" s="174" t="s">
        <v>189</v>
      </c>
      <c r="D5" t="s">
        <v>207</v>
      </c>
    </row>
    <row r="6" spans="1:11">
      <c r="C6" s="174" t="s">
        <v>190</v>
      </c>
      <c r="D6" t="s">
        <v>208</v>
      </c>
    </row>
    <row r="7" spans="1:11">
      <c r="C7" s="174" t="s">
        <v>305</v>
      </c>
      <c r="D7" t="s">
        <v>309</v>
      </c>
    </row>
    <row r="8" spans="1:11">
      <c r="C8" s="174" t="s">
        <v>191</v>
      </c>
      <c r="D8" s="438" t="s">
        <v>718</v>
      </c>
    </row>
    <row r="9" spans="1:11">
      <c r="C9" s="174"/>
      <c r="D9" s="175"/>
    </row>
    <row r="10" spans="1:11">
      <c r="D10" s="174"/>
      <c r="E10" s="175"/>
    </row>
    <row r="11" spans="1:11">
      <c r="A11" s="196" t="s">
        <v>372</v>
      </c>
    </row>
    <row r="12" spans="1:11">
      <c r="A12" s="197" t="s">
        <v>371</v>
      </c>
      <c r="B12" s="197"/>
      <c r="C12" s="197"/>
      <c r="D12" s="197"/>
      <c r="E12" s="197"/>
      <c r="G12" s="197"/>
      <c r="H12" s="197"/>
      <c r="I12" s="197"/>
      <c r="J12" s="197"/>
      <c r="K12" s="197"/>
    </row>
    <row r="13" spans="1:11">
      <c r="A13" s="197" t="s">
        <v>342</v>
      </c>
      <c r="B13" s="197"/>
      <c r="C13" s="197"/>
      <c r="D13" s="197"/>
      <c r="E13" s="197"/>
      <c r="G13" s="197"/>
      <c r="H13" s="197"/>
      <c r="I13" s="197"/>
      <c r="J13" s="197"/>
      <c r="K13" s="197"/>
    </row>
    <row r="14" spans="1:11">
      <c r="A14" s="196"/>
    </row>
    <row r="15" spans="1:11">
      <c r="A15" s="196" t="s">
        <v>297</v>
      </c>
    </row>
    <row r="16" spans="1:11">
      <c r="A16" s="197" t="s">
        <v>299</v>
      </c>
      <c r="D16" s="217">
        <v>25</v>
      </c>
      <c r="E16" t="s">
        <v>336</v>
      </c>
      <c r="G16" s="196"/>
      <c r="H16" s="196"/>
      <c r="I16" s="196"/>
    </row>
    <row r="17" spans="1:9">
      <c r="A17" s="197" t="s">
        <v>300</v>
      </c>
      <c r="D17">
        <v>10</v>
      </c>
      <c r="E17" t="s">
        <v>337</v>
      </c>
      <c r="G17" s="196"/>
      <c r="H17" s="196"/>
      <c r="I17" s="196"/>
    </row>
    <row r="18" spans="1:9">
      <c r="A18" s="197"/>
      <c r="G18" s="196"/>
      <c r="H18" s="196"/>
      <c r="I18" s="196"/>
    </row>
    <row r="19" spans="1:9">
      <c r="A19" s="197" t="s">
        <v>301</v>
      </c>
      <c r="D19" s="198">
        <f>D16*D17</f>
        <v>250</v>
      </c>
      <c r="E19" t="s">
        <v>302</v>
      </c>
      <c r="G19" s="196"/>
      <c r="H19" s="196"/>
      <c r="I19" s="196"/>
    </row>
    <row r="20" spans="1:9">
      <c r="D20" s="227">
        <f>D19/2000</f>
        <v>0.125</v>
      </c>
      <c r="E20" t="s">
        <v>271</v>
      </c>
      <c r="G20" s="196"/>
      <c r="H20" s="196"/>
      <c r="I20" s="196"/>
    </row>
    <row r="21" spans="1:9" ht="10.5" customHeight="1">
      <c r="D21" s="217"/>
      <c r="G21" s="196"/>
      <c r="H21" s="196"/>
      <c r="I21" s="196"/>
    </row>
    <row r="22" spans="1:9">
      <c r="A22" s="218" t="s">
        <v>286</v>
      </c>
      <c r="B22" s="219"/>
      <c r="C22" s="219"/>
      <c r="D22" s="219"/>
      <c r="E22" s="219"/>
      <c r="F22" s="219"/>
      <c r="G22" s="219"/>
    </row>
    <row r="23" spans="1:9">
      <c r="A23" s="219" t="s">
        <v>303</v>
      </c>
      <c r="B23" s="219"/>
      <c r="C23" s="219"/>
      <c r="D23" s="219"/>
      <c r="E23" s="219"/>
      <c r="F23" s="219"/>
      <c r="G23" s="219"/>
    </row>
    <row r="24" spans="1:9">
      <c r="A24" t="s">
        <v>373</v>
      </c>
      <c r="B24" s="196"/>
      <c r="F24" s="196"/>
      <c r="G24" s="196"/>
      <c r="H24" s="196"/>
    </row>
    <row r="25" spans="1:9">
      <c r="B25" s="179"/>
      <c r="C25" s="179"/>
      <c r="D25" s="179"/>
      <c r="E25" s="179"/>
      <c r="F25" s="179"/>
      <c r="G25" s="179"/>
      <c r="H25" s="179"/>
    </row>
    <row r="26" spans="1:9">
      <c r="B26" s="179"/>
      <c r="C26" s="179"/>
      <c r="D26" s="179"/>
      <c r="E26" s="179"/>
      <c r="F26" s="179"/>
      <c r="G26" s="179"/>
      <c r="H26" s="179"/>
    </row>
    <row r="27" spans="1:9">
      <c r="B27" s="179"/>
      <c r="C27" s="179"/>
      <c r="D27" s="179"/>
      <c r="E27" s="179"/>
      <c r="F27" s="179"/>
      <c r="G27" s="179"/>
      <c r="H27" s="179"/>
    </row>
    <row r="28" spans="1:9">
      <c r="B28" s="179"/>
      <c r="C28" s="179"/>
      <c r="D28" s="179"/>
      <c r="E28" s="179"/>
      <c r="F28" s="179"/>
      <c r="G28" s="179"/>
      <c r="H28" s="179"/>
    </row>
    <row r="29" spans="1:9">
      <c r="B29" s="179"/>
      <c r="C29" s="179"/>
      <c r="D29" s="179"/>
      <c r="E29" s="179"/>
      <c r="F29" s="179"/>
      <c r="G29" s="179"/>
      <c r="H29" s="179"/>
    </row>
    <row r="30" spans="1:9">
      <c r="B30" s="179"/>
      <c r="C30" s="179"/>
      <c r="D30" s="179"/>
      <c r="E30" s="179"/>
      <c r="F30" s="179"/>
      <c r="G30" s="179"/>
      <c r="H30" s="179"/>
    </row>
    <row r="31" spans="1:9">
      <c r="B31" s="179"/>
      <c r="C31" s="179"/>
      <c r="D31" s="179"/>
      <c r="E31" s="179"/>
      <c r="F31" s="179"/>
      <c r="G31" s="179"/>
      <c r="H31" s="179"/>
    </row>
    <row r="34" spans="1:9">
      <c r="A34" s="218"/>
      <c r="B34" s="219"/>
      <c r="C34" s="219"/>
      <c r="D34" s="219"/>
      <c r="E34" s="219"/>
      <c r="F34" s="219"/>
      <c r="G34" s="219"/>
      <c r="H34" s="219"/>
      <c r="I34" s="219"/>
    </row>
    <row r="35" spans="1:9" ht="14.25">
      <c r="A35" s="225"/>
      <c r="B35" s="219"/>
      <c r="C35" s="219"/>
      <c r="D35" s="219"/>
      <c r="E35" s="219"/>
      <c r="F35" s="219"/>
      <c r="G35" s="219"/>
      <c r="H35" s="219"/>
      <c r="I35" s="219"/>
    </row>
    <row r="36" spans="1:9" ht="14.25">
      <c r="A36" s="225"/>
      <c r="B36" s="219"/>
      <c r="C36" s="219"/>
      <c r="D36" s="219"/>
      <c r="E36" s="219"/>
      <c r="F36" s="219"/>
      <c r="G36" s="219"/>
      <c r="H36" s="219"/>
      <c r="I36" s="219"/>
    </row>
    <row r="37" spans="1:9" ht="14.25">
      <c r="A37" s="225"/>
      <c r="B37" s="219"/>
      <c r="C37" s="219"/>
      <c r="D37" s="219"/>
      <c r="E37" s="219"/>
      <c r="F37" s="219"/>
      <c r="G37" s="219"/>
      <c r="H37" s="219"/>
      <c r="I37" s="219"/>
    </row>
    <row r="38" spans="1:9">
      <c r="A38" s="226"/>
      <c r="B38" s="219"/>
      <c r="C38" s="219"/>
      <c r="D38" s="219"/>
      <c r="E38" s="219"/>
      <c r="F38" s="219"/>
      <c r="G38" s="219"/>
      <c r="H38" s="219"/>
      <c r="I38" s="219"/>
    </row>
    <row r="39" spans="1:9">
      <c r="A39" s="226"/>
      <c r="B39" s="219"/>
      <c r="C39" s="219"/>
      <c r="D39" s="219"/>
      <c r="E39" s="219"/>
      <c r="F39" s="219"/>
      <c r="G39" s="219"/>
      <c r="H39" s="219"/>
      <c r="I39" s="219"/>
    </row>
  </sheetData>
  <phoneticPr fontId="22" type="noConversion"/>
  <pageMargins left="0.75" right="0.75" top="1" bottom="1" header="0.5" footer="0.5"/>
  <pageSetup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3C14-6C1C-4D56-B5E1-5560443139BF}">
  <dimension ref="A1:I36"/>
  <sheetViews>
    <sheetView zoomScale="120" zoomScaleNormal="120" workbookViewId="0">
      <selection activeCell="D8" sqref="D8"/>
    </sheetView>
  </sheetViews>
  <sheetFormatPr defaultRowHeight="12.75"/>
  <cols>
    <col min="1" max="1" width="12.85546875" customWidth="1"/>
    <col min="2" max="2" width="20" customWidth="1"/>
    <col min="3" max="3" width="22.85546875" customWidth="1"/>
    <col min="4" max="4" width="15.5703125" customWidth="1"/>
    <col min="5" max="5" width="10.85546875" customWidth="1"/>
    <col min="6" max="6" width="17.85546875" customWidth="1"/>
    <col min="7" max="7" width="15.42578125" customWidth="1"/>
    <col min="8" max="8" width="13.85546875" customWidth="1"/>
    <col min="9" max="9" width="18.5703125" customWidth="1"/>
    <col min="10" max="10" width="4.85546875" customWidth="1"/>
  </cols>
  <sheetData>
    <row r="1" spans="1:9" ht="15">
      <c r="C1" s="250"/>
      <c r="D1" s="171" t="s">
        <v>617</v>
      </c>
      <c r="E1" s="159"/>
    </row>
    <row r="2" spans="1:9">
      <c r="E2" s="159"/>
      <c r="F2" s="171"/>
    </row>
    <row r="3" spans="1:9" ht="15">
      <c r="C3" s="173" t="s">
        <v>353</v>
      </c>
      <c r="D3" s="172"/>
      <c r="F3" s="172"/>
    </row>
    <row r="5" spans="1:9">
      <c r="C5" s="174" t="s">
        <v>189</v>
      </c>
      <c r="D5" t="s">
        <v>207</v>
      </c>
    </row>
    <row r="6" spans="1:9">
      <c r="C6" s="174" t="s">
        <v>190</v>
      </c>
      <c r="D6" t="s">
        <v>208</v>
      </c>
    </row>
    <row r="7" spans="1:9">
      <c r="C7" s="174" t="s">
        <v>305</v>
      </c>
      <c r="D7" t="s">
        <v>309</v>
      </c>
    </row>
    <row r="8" spans="1:9">
      <c r="C8" s="174" t="s">
        <v>191</v>
      </c>
      <c r="D8" s="438" t="s">
        <v>718</v>
      </c>
    </row>
    <row r="10" spans="1:9" ht="63" customHeight="1">
      <c r="A10" s="251" t="s">
        <v>354</v>
      </c>
      <c r="B10" s="268" t="s">
        <v>361</v>
      </c>
      <c r="C10" s="268" t="s">
        <v>362</v>
      </c>
      <c r="D10" s="268" t="s">
        <v>363</v>
      </c>
      <c r="E10" s="268" t="s">
        <v>364</v>
      </c>
      <c r="F10" s="268" t="s">
        <v>358</v>
      </c>
      <c r="G10" s="268" t="s">
        <v>367</v>
      </c>
      <c r="H10" s="252"/>
    </row>
    <row r="11" spans="1:9" ht="25.5">
      <c r="A11" s="252" t="s">
        <v>368</v>
      </c>
      <c r="B11" s="268">
        <f>78+30.6</f>
        <v>108.6</v>
      </c>
      <c r="C11" s="268">
        <v>28</v>
      </c>
      <c r="D11" s="268">
        <f>60+10</f>
        <v>70</v>
      </c>
      <c r="E11" s="268"/>
      <c r="F11" s="268">
        <f>20*4</f>
        <v>80</v>
      </c>
      <c r="G11" s="268">
        <f>SUM(B11:F11)-F11</f>
        <v>206.60000000000002</v>
      </c>
    </row>
    <row r="12" spans="1:9" ht="25.5">
      <c r="A12" s="252" t="s">
        <v>369</v>
      </c>
      <c r="B12" s="268">
        <f>12+12</f>
        <v>24</v>
      </c>
      <c r="C12" s="268">
        <f>5.5+11</f>
        <v>16.5</v>
      </c>
      <c r="D12" s="268"/>
      <c r="E12" s="268">
        <f>16+13</f>
        <v>29</v>
      </c>
      <c r="F12" s="268"/>
      <c r="G12" s="268">
        <f>SUM(B12:F12)</f>
        <v>69.5</v>
      </c>
    </row>
    <row r="14" spans="1:9" ht="13.5" thickBot="1">
      <c r="A14" s="219"/>
      <c r="B14" s="219"/>
      <c r="C14" s="219"/>
      <c r="D14" s="219"/>
      <c r="E14" s="219"/>
      <c r="F14" s="219"/>
      <c r="G14" s="219"/>
      <c r="H14" s="219"/>
      <c r="I14" s="219"/>
    </row>
    <row r="15" spans="1:9">
      <c r="A15" s="219"/>
      <c r="B15" s="219"/>
      <c r="C15" s="219"/>
      <c r="D15" s="775" t="s">
        <v>346</v>
      </c>
      <c r="E15" s="776"/>
      <c r="F15" s="776"/>
      <c r="G15" s="776"/>
      <c r="H15" s="776"/>
      <c r="I15" s="777"/>
    </row>
    <row r="16" spans="1:9">
      <c r="A16" s="243" t="s">
        <v>0</v>
      </c>
      <c r="B16" s="244" t="s">
        <v>0</v>
      </c>
      <c r="C16" s="244" t="s">
        <v>0</v>
      </c>
      <c r="D16" s="255" t="s">
        <v>347</v>
      </c>
      <c r="E16" s="265" t="s">
        <v>348</v>
      </c>
      <c r="F16" s="255" t="s">
        <v>349</v>
      </c>
      <c r="G16" s="255" t="s">
        <v>350</v>
      </c>
      <c r="H16" s="255" t="s">
        <v>87</v>
      </c>
      <c r="I16" s="267" t="s">
        <v>75</v>
      </c>
    </row>
    <row r="17" spans="1:9" ht="12.75" customHeight="1">
      <c r="A17" s="245" t="s">
        <v>365</v>
      </c>
      <c r="B17" s="219"/>
      <c r="C17" s="219"/>
      <c r="D17" s="256">
        <f>2.2*10^-3</f>
        <v>2.2000000000000001E-3</v>
      </c>
      <c r="E17" s="253">
        <f>2.2*10^-3</f>
        <v>2.2000000000000001E-3</v>
      </c>
      <c r="F17" s="256">
        <f>2.05*10^-3</f>
        <v>2.0499999999999997E-3</v>
      </c>
      <c r="G17" s="256">
        <v>3.1E-2</v>
      </c>
      <c r="H17" s="256">
        <f>2.47*10^-3</f>
        <v>2.4700000000000004E-3</v>
      </c>
      <c r="I17" s="260">
        <f>6.68*10^-3</f>
        <v>6.6800000000000002E-3</v>
      </c>
    </row>
    <row r="18" spans="1:9">
      <c r="A18" s="245" t="s">
        <v>366</v>
      </c>
      <c r="B18" s="219"/>
      <c r="C18" s="219"/>
      <c r="D18" s="256">
        <f>7.21*10^-4</f>
        <v>7.2100000000000007E-4</v>
      </c>
      <c r="E18" s="253">
        <f>7.21*10^-4</f>
        <v>7.2100000000000007E-4</v>
      </c>
      <c r="F18" s="256">
        <f>5.91*10^-4</f>
        <v>5.9100000000000005E-4</v>
      </c>
      <c r="G18" s="256">
        <v>1.0999999999999999E-2</v>
      </c>
      <c r="H18" s="256">
        <v>1.4999999999999999E-2</v>
      </c>
      <c r="I18" s="260">
        <f>6.96*10^-3</f>
        <v>6.96E-3</v>
      </c>
    </row>
    <row r="19" spans="1:9">
      <c r="A19" s="245"/>
      <c r="B19" s="219"/>
      <c r="C19" s="219"/>
      <c r="D19" s="261"/>
      <c r="E19" s="266"/>
      <c r="F19" s="261"/>
      <c r="G19" s="261"/>
      <c r="H19" s="261"/>
      <c r="I19" s="264"/>
    </row>
    <row r="20" spans="1:9">
      <c r="A20" s="782" t="s">
        <v>359</v>
      </c>
      <c r="B20" s="783"/>
      <c r="C20" s="783"/>
      <c r="D20" s="259">
        <f t="shared" ref="D20:I20" si="0">($G$11*D17 ) *1000/2000</f>
        <v>0.22726000000000005</v>
      </c>
      <c r="E20" s="259">
        <f t="shared" si="0"/>
        <v>0.22726000000000005</v>
      </c>
      <c r="F20" s="259">
        <f t="shared" si="0"/>
        <v>0.21176500000000001</v>
      </c>
      <c r="G20" s="259">
        <f t="shared" si="0"/>
        <v>3.2023000000000001</v>
      </c>
      <c r="H20" s="259">
        <f t="shared" si="0"/>
        <v>0.25515100000000007</v>
      </c>
      <c r="I20" s="259">
        <f t="shared" si="0"/>
        <v>0.6900440000000001</v>
      </c>
    </row>
    <row r="21" spans="1:9">
      <c r="A21" s="784" t="s">
        <v>374</v>
      </c>
      <c r="B21" s="785"/>
      <c r="C21" s="785"/>
      <c r="D21" s="256">
        <f t="shared" ref="D21:I21" si="1">(D18*$G$12)*1000/2000</f>
        <v>2.5054750000000004E-2</v>
      </c>
      <c r="E21" s="256">
        <f t="shared" si="1"/>
        <v>2.5054750000000004E-2</v>
      </c>
      <c r="F21" s="256">
        <f t="shared" si="1"/>
        <v>2.0537250000000003E-2</v>
      </c>
      <c r="G21" s="256">
        <f t="shared" si="1"/>
        <v>0.38224999999999998</v>
      </c>
      <c r="H21" s="256">
        <f t="shared" si="1"/>
        <v>0.52124999999999999</v>
      </c>
      <c r="I21" s="256">
        <f t="shared" si="1"/>
        <v>0.24185999999999999</v>
      </c>
    </row>
    <row r="22" spans="1:9">
      <c r="A22" s="786" t="s">
        <v>360</v>
      </c>
      <c r="B22" s="787"/>
      <c r="C22" s="787"/>
      <c r="D22" s="261">
        <f t="shared" ref="D22:I22" si="2">(D17*$F$11)*4.38</f>
        <v>0.77088000000000001</v>
      </c>
      <c r="E22" s="263">
        <f t="shared" si="2"/>
        <v>0.77088000000000001</v>
      </c>
      <c r="F22" s="261">
        <f t="shared" si="2"/>
        <v>0.71831999999999985</v>
      </c>
      <c r="G22" s="261">
        <f t="shared" si="2"/>
        <v>10.862399999999999</v>
      </c>
      <c r="H22" s="261">
        <f t="shared" si="2"/>
        <v>0.86548800000000015</v>
      </c>
      <c r="I22" s="264">
        <f t="shared" si="2"/>
        <v>2.3406720000000001</v>
      </c>
    </row>
    <row r="23" spans="1:9">
      <c r="A23" s="245"/>
      <c r="B23" s="219"/>
      <c r="C23" s="219"/>
      <c r="D23" s="257"/>
      <c r="E23" s="262"/>
      <c r="F23" s="257"/>
      <c r="G23" s="257"/>
      <c r="H23" s="257"/>
      <c r="I23" s="254"/>
    </row>
    <row r="24" spans="1:9">
      <c r="A24" s="778" t="s">
        <v>357</v>
      </c>
      <c r="B24" s="779"/>
      <c r="C24" s="219"/>
      <c r="D24" s="279">
        <f t="shared" ref="D24:I24" si="3">SUM(D20:D22)</f>
        <v>1.02319475</v>
      </c>
      <c r="E24" s="279">
        <f t="shared" si="3"/>
        <v>1.02319475</v>
      </c>
      <c r="F24" s="279">
        <f t="shared" si="3"/>
        <v>0.95062224999999989</v>
      </c>
      <c r="G24" s="279">
        <f t="shared" si="3"/>
        <v>14.446949999999999</v>
      </c>
      <c r="H24" s="279">
        <f t="shared" si="3"/>
        <v>1.6418890000000004</v>
      </c>
      <c r="I24" s="279">
        <f t="shared" si="3"/>
        <v>3.2725759999999999</v>
      </c>
    </row>
    <row r="25" spans="1:9">
      <c r="A25" s="246"/>
      <c r="B25" s="247"/>
      <c r="C25" s="247"/>
      <c r="D25" s="258"/>
      <c r="E25" s="247"/>
      <c r="F25" s="258"/>
      <c r="G25" s="258"/>
      <c r="H25" s="258"/>
      <c r="I25" s="248"/>
    </row>
    <row r="26" spans="1:9">
      <c r="A26" s="781" t="s">
        <v>351</v>
      </c>
      <c r="B26" s="781"/>
      <c r="C26" s="781"/>
      <c r="D26" s="780"/>
      <c r="E26" s="781"/>
      <c r="F26" s="780"/>
      <c r="G26" s="780"/>
      <c r="H26" s="780"/>
      <c r="I26" s="219"/>
    </row>
    <row r="27" spans="1:9">
      <c r="A27" s="249" t="s">
        <v>376</v>
      </c>
      <c r="B27" s="219"/>
      <c r="C27" s="219"/>
      <c r="D27" s="242"/>
      <c r="E27" s="242"/>
      <c r="F27" s="242"/>
      <c r="G27" s="242"/>
      <c r="H27" s="242"/>
      <c r="I27" s="242"/>
    </row>
    <row r="28" spans="1:9">
      <c r="A28" s="249" t="s">
        <v>377</v>
      </c>
      <c r="B28" s="219"/>
      <c r="C28" s="219"/>
      <c r="D28" s="242"/>
      <c r="E28" s="242"/>
      <c r="F28" s="242"/>
      <c r="G28" s="242"/>
      <c r="H28" s="242"/>
      <c r="I28" s="242"/>
    </row>
    <row r="29" spans="1:9">
      <c r="A29" s="249"/>
      <c r="B29" s="219"/>
      <c r="C29" s="219"/>
      <c r="D29" s="242"/>
      <c r="E29" s="242"/>
      <c r="F29" s="242"/>
      <c r="G29" s="242"/>
      <c r="H29" s="242"/>
      <c r="I29" s="242"/>
    </row>
    <row r="30" spans="1:9">
      <c r="A30" s="218" t="s">
        <v>286</v>
      </c>
      <c r="B30" s="219"/>
      <c r="C30" s="219"/>
      <c r="D30" s="219"/>
      <c r="E30" s="219"/>
      <c r="F30" s="219"/>
      <c r="G30" s="219"/>
      <c r="H30" s="219"/>
      <c r="I30" s="219"/>
    </row>
    <row r="31" spans="1:9">
      <c r="A31" s="219"/>
      <c r="B31" s="219"/>
      <c r="C31" s="219"/>
      <c r="D31" s="219"/>
      <c r="E31" s="219"/>
      <c r="F31" s="219"/>
      <c r="G31" s="219"/>
      <c r="H31" s="219"/>
      <c r="I31" s="219"/>
    </row>
    <row r="32" spans="1:9">
      <c r="A32" s="780" t="s">
        <v>352</v>
      </c>
      <c r="B32" s="780"/>
      <c r="C32" s="780"/>
      <c r="D32" s="780"/>
      <c r="E32" s="219"/>
      <c r="F32" s="219"/>
      <c r="G32" s="219"/>
      <c r="H32" s="219"/>
      <c r="I32" s="219"/>
    </row>
    <row r="33" spans="1:9">
      <c r="A33" s="219"/>
      <c r="B33" s="219"/>
      <c r="C33" s="219"/>
      <c r="D33" s="219"/>
      <c r="E33" s="219"/>
      <c r="F33" s="219"/>
      <c r="G33" s="219"/>
      <c r="H33" s="219"/>
      <c r="I33" s="219"/>
    </row>
    <row r="34" spans="1:9">
      <c r="A34" s="780" t="s">
        <v>475</v>
      </c>
      <c r="B34" s="780"/>
      <c r="C34" s="780"/>
      <c r="D34" s="780"/>
      <c r="E34" s="780"/>
      <c r="F34" s="780"/>
      <c r="G34" s="780"/>
      <c r="H34" s="780"/>
      <c r="I34" s="780"/>
    </row>
    <row r="35" spans="1:9">
      <c r="A35" s="219" t="s">
        <v>375</v>
      </c>
      <c r="B35" s="219"/>
      <c r="C35" s="219"/>
      <c r="D35" s="219"/>
      <c r="E35" s="219"/>
      <c r="F35" s="219"/>
      <c r="G35" s="219"/>
      <c r="H35" s="219"/>
      <c r="I35" s="249"/>
    </row>
    <row r="36" spans="1:9">
      <c r="A36" s="219" t="s">
        <v>370</v>
      </c>
      <c r="B36" s="219"/>
      <c r="C36" s="219"/>
      <c r="D36" s="219"/>
      <c r="E36" s="219"/>
      <c r="F36" s="219"/>
    </row>
  </sheetData>
  <mergeCells count="8">
    <mergeCell ref="D15:I15"/>
    <mergeCell ref="A24:B24"/>
    <mergeCell ref="A34:I34"/>
    <mergeCell ref="A26:H26"/>
    <mergeCell ref="A32:D32"/>
    <mergeCell ref="A20:C20"/>
    <mergeCell ref="A21:C21"/>
    <mergeCell ref="A22:C22"/>
  </mergeCells>
  <phoneticPr fontId="22" type="noConversion"/>
  <printOptions horizontalCentered="1"/>
  <pageMargins left="0.75" right="0.75" top="1" bottom="1" header="0.5" footer="0.5"/>
  <pageSetup scale="6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29C9-1F60-4C27-B642-869FD672FE02}">
  <sheetPr>
    <pageSetUpPr fitToPage="1"/>
  </sheetPr>
  <dimension ref="A1:V41"/>
  <sheetViews>
    <sheetView view="pageBreakPreview" zoomScale="60" zoomScaleNormal="130" workbookViewId="0">
      <selection activeCell="AB30" sqref="AB30"/>
    </sheetView>
  </sheetViews>
  <sheetFormatPr defaultRowHeight="12.75"/>
  <cols>
    <col min="1" max="1" width="17.140625" customWidth="1"/>
    <col min="2" max="2" width="15.140625" customWidth="1"/>
  </cols>
  <sheetData>
    <row r="1" spans="1:22" ht="15.75">
      <c r="A1" s="415" t="s">
        <v>433</v>
      </c>
      <c r="B1" s="241"/>
      <c r="C1" s="241"/>
      <c r="D1" s="241"/>
      <c r="E1" s="241"/>
      <c r="F1" s="241"/>
      <c r="G1" s="241"/>
      <c r="H1" s="241"/>
      <c r="I1" s="241"/>
      <c r="J1" s="416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2" ht="14.25">
      <c r="A3" s="241"/>
      <c r="B3" s="241"/>
      <c r="C3" s="241"/>
      <c r="D3" s="241"/>
      <c r="E3" s="241"/>
      <c r="F3" s="241"/>
      <c r="G3" s="241"/>
      <c r="H3" s="195"/>
      <c r="I3" s="420" t="s">
        <v>435</v>
      </c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</row>
    <row r="4" spans="1:2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</row>
    <row r="5" spans="1:22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</row>
    <row r="6" spans="1:22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</row>
    <row r="8" spans="1:22" ht="13.5" thickBot="1">
      <c r="A8" s="417"/>
      <c r="B8" s="418"/>
      <c r="C8" s="417"/>
      <c r="D8" s="417"/>
      <c r="E8" s="419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</row>
    <row r="9" spans="1:22" ht="13.5" thickBot="1">
      <c r="A9" s="789" t="s">
        <v>395</v>
      </c>
      <c r="B9" s="789" t="s">
        <v>396</v>
      </c>
      <c r="C9" s="792" t="s">
        <v>397</v>
      </c>
      <c r="D9" s="792" t="s">
        <v>398</v>
      </c>
      <c r="E9" s="792" t="s">
        <v>399</v>
      </c>
      <c r="F9" s="319" t="s">
        <v>350</v>
      </c>
      <c r="G9" s="320"/>
      <c r="H9" s="321"/>
      <c r="I9" s="321"/>
      <c r="J9" s="320"/>
      <c r="K9" s="322" t="s">
        <v>75</v>
      </c>
      <c r="L9" s="322"/>
      <c r="M9" s="323"/>
      <c r="N9" s="322" t="s">
        <v>400</v>
      </c>
      <c r="O9" s="322"/>
      <c r="P9" s="323"/>
      <c r="Q9" s="322" t="s">
        <v>401</v>
      </c>
      <c r="R9" s="322"/>
      <c r="S9" s="323"/>
      <c r="T9" s="322" t="s">
        <v>87</v>
      </c>
      <c r="U9" s="322"/>
      <c r="V9" s="324"/>
    </row>
    <row r="10" spans="1:22" ht="22.5" thickBot="1">
      <c r="A10" s="790"/>
      <c r="B10" s="791"/>
      <c r="C10" s="793"/>
      <c r="D10" s="793"/>
      <c r="E10" s="793"/>
      <c r="F10" s="318" t="s">
        <v>287</v>
      </c>
      <c r="G10" s="318" t="s">
        <v>402</v>
      </c>
      <c r="H10" s="318" t="s">
        <v>403</v>
      </c>
      <c r="I10" s="318" t="s">
        <v>393</v>
      </c>
      <c r="J10" s="318" t="s">
        <v>404</v>
      </c>
      <c r="K10" s="325" t="s">
        <v>287</v>
      </c>
      <c r="L10" s="318" t="s">
        <v>393</v>
      </c>
      <c r="M10" s="318" t="s">
        <v>402</v>
      </c>
      <c r="N10" s="325" t="s">
        <v>287</v>
      </c>
      <c r="O10" s="318" t="s">
        <v>393</v>
      </c>
      <c r="P10" s="318" t="s">
        <v>402</v>
      </c>
      <c r="Q10" s="325" t="s">
        <v>287</v>
      </c>
      <c r="R10" s="318" t="s">
        <v>393</v>
      </c>
      <c r="S10" s="318" t="s">
        <v>402</v>
      </c>
      <c r="T10" s="325" t="s">
        <v>287</v>
      </c>
      <c r="U10" s="318" t="s">
        <v>393</v>
      </c>
      <c r="V10" s="326" t="s">
        <v>402</v>
      </c>
    </row>
    <row r="11" spans="1:22" ht="22.5">
      <c r="A11" s="327" t="s">
        <v>405</v>
      </c>
      <c r="B11" s="328" t="s">
        <v>406</v>
      </c>
      <c r="C11" s="329">
        <f>E11*0.7457</f>
        <v>473.51949999999999</v>
      </c>
      <c r="D11" s="330">
        <v>500</v>
      </c>
      <c r="E11" s="329">
        <v>635</v>
      </c>
      <c r="F11" s="331">
        <f>(C11*B31*D11)/453.6</f>
        <v>1994.0014712081129</v>
      </c>
      <c r="G11" s="332">
        <f>F11/2000</f>
        <v>0.99700073560405644</v>
      </c>
      <c r="H11" s="333">
        <f>G11/4</f>
        <v>0.24925018390101411</v>
      </c>
      <c r="I11" s="332">
        <f>(C11*$C$31)/453.6</f>
        <v>4.1756569664902994</v>
      </c>
      <c r="J11" s="334">
        <f>I11*24</f>
        <v>100.21576719576719</v>
      </c>
      <c r="K11" s="335">
        <f>(C11*$D$31*D11)/453.6</f>
        <v>1826.849922839506</v>
      </c>
      <c r="L11" s="332">
        <f>(C11*$D$31)/453.6</f>
        <v>3.6536998456790122</v>
      </c>
      <c r="M11" s="336">
        <f>K11/2000</f>
        <v>0.91342496141975305</v>
      </c>
      <c r="N11" s="337">
        <f>D11*E11*$E$26</f>
        <v>770.57249999999999</v>
      </c>
      <c r="O11" s="332">
        <f>($E$26*E11)</f>
        <v>1.541145</v>
      </c>
      <c r="P11" s="336">
        <f>N11/2000</f>
        <v>0.38528625</v>
      </c>
      <c r="Q11" s="335">
        <f>(C11*$E$31*D11)/453.6</f>
        <v>62.634854497354489</v>
      </c>
      <c r="R11" s="332">
        <f>(C11*$E$31)/453.6</f>
        <v>0.12526970899470899</v>
      </c>
      <c r="S11" s="338">
        <f>Q11/2000</f>
        <v>3.1317427248677247E-2</v>
      </c>
      <c r="T11" s="335">
        <f>(C11*$F$31*D11)/453.6</f>
        <v>93.827012037037022</v>
      </c>
      <c r="U11" s="332">
        <f>(G26*E11)</f>
        <v>0.44767499999999999</v>
      </c>
      <c r="V11" s="339">
        <f>T11/2000</f>
        <v>4.6913506018518514E-2</v>
      </c>
    </row>
    <row r="12" spans="1:22">
      <c r="A12" s="340"/>
      <c r="B12" s="341"/>
      <c r="C12" s="342"/>
      <c r="D12" s="343"/>
      <c r="E12" s="341"/>
      <c r="F12" s="329"/>
      <c r="G12" s="332"/>
      <c r="H12" s="332"/>
      <c r="I12" s="332"/>
      <c r="J12" s="334"/>
      <c r="K12" s="335"/>
      <c r="L12" s="332"/>
      <c r="M12" s="336"/>
      <c r="N12" s="337"/>
      <c r="O12" s="332"/>
      <c r="P12" s="336"/>
      <c r="Q12" s="335"/>
      <c r="R12" s="332"/>
      <c r="S12" s="338"/>
      <c r="T12" s="337"/>
      <c r="U12" s="332"/>
      <c r="V12" s="344"/>
    </row>
    <row r="13" spans="1:22">
      <c r="A13" s="340"/>
      <c r="B13" s="345"/>
      <c r="C13" s="346"/>
      <c r="D13" s="345"/>
      <c r="E13" s="347"/>
      <c r="F13" s="348">
        <f>SUM(F11:F12)</f>
        <v>1994.0014712081129</v>
      </c>
      <c r="G13" s="349">
        <f>SUM(G11:G12)</f>
        <v>0.99700073560405644</v>
      </c>
      <c r="H13" s="350">
        <f>SUM(H11:H12)</f>
        <v>0.24925018390101411</v>
      </c>
      <c r="I13" s="348" t="s">
        <v>407</v>
      </c>
      <c r="J13" s="351" t="s">
        <v>407</v>
      </c>
      <c r="K13" s="352">
        <f>SUM(K11:K12)</f>
        <v>1826.849922839506</v>
      </c>
      <c r="L13" s="348" t="s">
        <v>407</v>
      </c>
      <c r="M13" s="353">
        <f>SUM(M11:M12)</f>
        <v>0.91342496141975305</v>
      </c>
      <c r="N13" s="354">
        <f>SUM(N11:N12)</f>
        <v>770.57249999999999</v>
      </c>
      <c r="O13" s="355" t="s">
        <v>407</v>
      </c>
      <c r="P13" s="353">
        <f>SUM(P11:P12)</f>
        <v>0.38528625</v>
      </c>
      <c r="Q13" s="354">
        <f>SUM(Q11:Q12)</f>
        <v>62.634854497354489</v>
      </c>
      <c r="R13" s="355" t="s">
        <v>407</v>
      </c>
      <c r="S13" s="353">
        <f>SUM(S11:S12)</f>
        <v>3.1317427248677247E-2</v>
      </c>
      <c r="T13" s="354">
        <f>SUM(T11:T12)</f>
        <v>93.827012037037022</v>
      </c>
      <c r="U13" s="356" t="s">
        <v>407</v>
      </c>
      <c r="V13" s="357">
        <f>SUM(V11:V12)</f>
        <v>4.6913506018518514E-2</v>
      </c>
    </row>
    <row r="14" spans="1:22">
      <c r="A14" s="358"/>
      <c r="B14" s="359"/>
      <c r="C14" s="359"/>
      <c r="D14" s="359"/>
      <c r="E14" s="347"/>
      <c r="F14" s="356"/>
      <c r="G14" s="356"/>
      <c r="H14" s="356"/>
      <c r="I14" s="356"/>
      <c r="J14" s="360"/>
      <c r="K14" s="361"/>
      <c r="L14" s="356"/>
      <c r="M14" s="360"/>
      <c r="N14" s="361"/>
      <c r="O14" s="356"/>
      <c r="P14" s="360"/>
      <c r="Q14" s="361"/>
      <c r="R14" s="356"/>
      <c r="S14" s="360"/>
      <c r="T14" s="361"/>
      <c r="U14" s="356"/>
      <c r="V14" s="362"/>
    </row>
    <row r="15" spans="1:22" ht="13.5" thickBot="1">
      <c r="A15" s="363"/>
      <c r="B15" s="364"/>
      <c r="C15" s="364"/>
      <c r="D15" s="364"/>
      <c r="E15" s="365"/>
      <c r="F15" s="366"/>
      <c r="G15" s="366"/>
      <c r="H15" s="366"/>
      <c r="I15" s="366"/>
      <c r="J15" s="367"/>
      <c r="K15" s="368"/>
      <c r="L15" s="369"/>
      <c r="M15" s="370"/>
      <c r="N15" s="368"/>
      <c r="O15" s="369"/>
      <c r="P15" s="370"/>
      <c r="Q15" s="368"/>
      <c r="R15" s="369"/>
      <c r="S15" s="370"/>
      <c r="T15" s="368"/>
      <c r="U15" s="369"/>
      <c r="V15" s="371"/>
    </row>
    <row r="16" spans="1:22" ht="42">
      <c r="A16" s="372"/>
      <c r="B16" s="373"/>
      <c r="C16" s="373"/>
      <c r="D16" s="373"/>
      <c r="E16" s="374" t="s">
        <v>408</v>
      </c>
      <c r="F16" s="375"/>
      <c r="G16" s="376">
        <v>6.6</v>
      </c>
      <c r="H16" s="377">
        <v>2.75</v>
      </c>
      <c r="I16" s="376">
        <v>100</v>
      </c>
      <c r="J16" s="378">
        <v>1000</v>
      </c>
      <c r="K16" s="374"/>
      <c r="L16" s="374"/>
      <c r="M16" s="375"/>
      <c r="N16" s="374"/>
      <c r="O16" s="374"/>
      <c r="P16" s="374"/>
      <c r="Q16" s="375"/>
      <c r="R16" s="375"/>
      <c r="S16" s="374"/>
      <c r="T16" s="374"/>
      <c r="U16" s="374"/>
      <c r="V16" s="375"/>
    </row>
    <row r="17" spans="1:22"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</row>
    <row r="18" spans="1:22">
      <c r="B18" s="380"/>
      <c r="C18" s="381" t="s">
        <v>409</v>
      </c>
      <c r="D18" s="382"/>
      <c r="E18" s="383"/>
      <c r="F18" s="382"/>
      <c r="G18" s="382"/>
      <c r="H18" s="382"/>
      <c r="I18" s="382"/>
      <c r="J18" s="382"/>
      <c r="K18" s="384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</row>
    <row r="19" spans="1:22">
      <c r="B19" s="385"/>
      <c r="C19" s="386"/>
      <c r="D19" s="387" t="s">
        <v>410</v>
      </c>
      <c r="E19" s="379"/>
      <c r="F19" s="379"/>
      <c r="G19" s="379"/>
      <c r="H19" s="379"/>
      <c r="I19" s="379"/>
      <c r="J19" s="379"/>
      <c r="K19" s="388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</row>
    <row r="20" spans="1:22">
      <c r="B20" s="385"/>
      <c r="C20" s="386"/>
      <c r="D20" s="387"/>
      <c r="E20" s="379"/>
      <c r="F20" s="379"/>
      <c r="G20" s="379"/>
      <c r="H20" s="379"/>
      <c r="I20" s="379"/>
      <c r="J20" s="379"/>
      <c r="K20" s="388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</row>
    <row r="21" spans="1:22">
      <c r="B21" s="385"/>
      <c r="C21" s="386"/>
      <c r="D21" s="387" t="s">
        <v>411</v>
      </c>
      <c r="E21" s="379"/>
      <c r="F21" s="379"/>
      <c r="G21" s="379"/>
      <c r="H21" s="379"/>
      <c r="I21" s="379"/>
      <c r="J21" s="379"/>
      <c r="K21" s="388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</row>
    <row r="22" spans="1:22">
      <c r="B22" s="385"/>
      <c r="C22" s="389"/>
      <c r="D22" s="379"/>
      <c r="E22" s="386"/>
      <c r="F22" s="379"/>
      <c r="G22" s="379"/>
      <c r="H22" s="379"/>
      <c r="I22" s="379"/>
      <c r="J22" s="379"/>
      <c r="K22" s="388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</row>
    <row r="23" spans="1:22">
      <c r="B23" s="390"/>
      <c r="C23" s="391"/>
      <c r="D23" s="392"/>
      <c r="E23" s="391"/>
      <c r="F23" s="393"/>
      <c r="G23" s="393"/>
      <c r="H23" s="379"/>
      <c r="I23" s="379"/>
      <c r="J23" s="379"/>
      <c r="K23" s="388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</row>
    <row r="24" spans="1:22">
      <c r="B24" s="394" t="s">
        <v>412</v>
      </c>
      <c r="C24" s="391"/>
      <c r="D24" s="391"/>
      <c r="E24" s="393"/>
      <c r="F24" s="393"/>
      <c r="G24" s="395"/>
      <c r="H24" s="385"/>
      <c r="I24" s="379"/>
      <c r="J24" s="379"/>
      <c r="K24" s="396"/>
      <c r="L24" s="397"/>
      <c r="M24" s="386"/>
      <c r="N24" s="386"/>
      <c r="O24" s="386"/>
      <c r="P24" s="386"/>
      <c r="Q24" s="386"/>
      <c r="R24" s="386"/>
      <c r="S24" s="386"/>
      <c r="T24" s="379"/>
      <c r="U24" s="379"/>
      <c r="V24" s="379"/>
    </row>
    <row r="25" spans="1:22" ht="33.75">
      <c r="B25" s="385"/>
      <c r="C25" s="398" t="s">
        <v>413</v>
      </c>
      <c r="D25" s="398" t="s">
        <v>414</v>
      </c>
      <c r="E25" s="398" t="s">
        <v>415</v>
      </c>
      <c r="F25" s="398" t="s">
        <v>416</v>
      </c>
      <c r="G25" s="398" t="s">
        <v>417</v>
      </c>
      <c r="H25" s="399"/>
      <c r="I25" s="400"/>
      <c r="J25" s="400"/>
      <c r="K25" s="401"/>
      <c r="L25" s="386"/>
      <c r="M25" s="402"/>
      <c r="N25" s="402"/>
      <c r="O25" s="402"/>
      <c r="P25" s="402"/>
      <c r="Q25" s="402"/>
      <c r="R25" s="402"/>
      <c r="S25" s="402"/>
      <c r="T25" s="379"/>
      <c r="U25" s="379"/>
      <c r="V25" s="379"/>
    </row>
    <row r="26" spans="1:22" ht="22.5">
      <c r="A26" s="379"/>
      <c r="B26" s="403" t="s">
        <v>418</v>
      </c>
      <c r="C26" s="398">
        <v>2.4E-2</v>
      </c>
      <c r="D26" s="404">
        <v>5.4999999999999997E-3</v>
      </c>
      <c r="E26" s="398">
        <f>0.00809*0.3</f>
        <v>2.4269999999999999E-3</v>
      </c>
      <c r="F26" s="398">
        <v>6.9999999999999999E-4</v>
      </c>
      <c r="G26" s="404">
        <v>7.0500000000000001E-4</v>
      </c>
      <c r="H26" s="405"/>
      <c r="I26" s="406"/>
      <c r="J26" s="406"/>
      <c r="K26" s="401"/>
      <c r="L26" s="386"/>
      <c r="M26" s="402"/>
      <c r="N26" s="402"/>
      <c r="O26" s="402"/>
      <c r="P26" s="402"/>
      <c r="Q26" s="402"/>
      <c r="R26" s="402"/>
      <c r="S26" s="402"/>
      <c r="T26" s="379"/>
      <c r="U26" s="379"/>
      <c r="V26" s="379"/>
    </row>
    <row r="27" spans="1:22">
      <c r="B27" s="379"/>
      <c r="C27" s="400"/>
      <c r="D27" s="406"/>
      <c r="E27" s="400"/>
      <c r="F27" s="400"/>
      <c r="G27" s="406"/>
      <c r="H27" s="406"/>
      <c r="I27" s="406"/>
      <c r="J27" s="406"/>
      <c r="K27" s="386"/>
      <c r="L27" s="386"/>
      <c r="M27" s="402"/>
      <c r="N27" s="402"/>
      <c r="O27" s="402"/>
      <c r="P27" s="402"/>
      <c r="Q27" s="402"/>
      <c r="R27" s="402"/>
      <c r="S27" s="402"/>
      <c r="T27" s="379"/>
      <c r="U27" s="379"/>
      <c r="V27" s="379"/>
    </row>
    <row r="28" spans="1:22"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86"/>
      <c r="M28" s="402"/>
      <c r="N28" s="402"/>
      <c r="O28" s="402"/>
      <c r="P28" s="402"/>
      <c r="Q28" s="402"/>
      <c r="R28" s="402"/>
      <c r="S28" s="402"/>
      <c r="T28" s="379"/>
      <c r="U28" s="379"/>
      <c r="V28" s="379"/>
    </row>
    <row r="29" spans="1:22">
      <c r="B29" s="394" t="s">
        <v>419</v>
      </c>
      <c r="L29" s="386"/>
      <c r="M29" s="402"/>
      <c r="N29" s="402"/>
      <c r="O29" s="402"/>
      <c r="P29" s="402"/>
      <c r="Q29" s="402"/>
      <c r="R29" s="402"/>
      <c r="S29" s="402"/>
      <c r="T29" s="379"/>
      <c r="U29" s="379"/>
      <c r="V29" s="379"/>
    </row>
    <row r="30" spans="1:22" ht="33.75">
      <c r="B30" t="s">
        <v>350</v>
      </c>
      <c r="C30" s="407" t="s">
        <v>420</v>
      </c>
      <c r="D30" s="407" t="s">
        <v>421</v>
      </c>
      <c r="E30" s="407" t="s">
        <v>422</v>
      </c>
      <c r="F30" t="s">
        <v>423</v>
      </c>
      <c r="G30" s="400"/>
      <c r="L30" s="386"/>
      <c r="M30" s="402"/>
      <c r="N30" s="402"/>
      <c r="O30" s="402"/>
      <c r="P30" s="402"/>
      <c r="Q30" s="402"/>
      <c r="R30" s="402"/>
      <c r="S30" s="402"/>
      <c r="T30" s="379"/>
      <c r="U30" s="379"/>
      <c r="V30" s="379"/>
    </row>
    <row r="31" spans="1:22">
      <c r="B31" s="179">
        <f>C31*0.95506</f>
        <v>3.8202400000000001</v>
      </c>
      <c r="C31" s="398">
        <v>4</v>
      </c>
      <c r="D31" s="408">
        <v>3.5</v>
      </c>
      <c r="E31" s="398">
        <v>0.12</v>
      </c>
      <c r="F31" s="179">
        <f>C31*0.04494</f>
        <v>0.17976</v>
      </c>
      <c r="G31" s="195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</row>
    <row r="32" spans="1:22" ht="33.75">
      <c r="C32" s="407" t="s">
        <v>424</v>
      </c>
      <c r="D32" s="407" t="s">
        <v>425</v>
      </c>
      <c r="E32" s="407" t="s">
        <v>426</v>
      </c>
    </row>
    <row r="33" spans="1:22">
      <c r="C33" s="409">
        <f>C31/453.6/1.341022</f>
        <v>6.5758370494111845E-3</v>
      </c>
      <c r="D33" s="410">
        <f>D31/453.6/1.341022</f>
        <v>5.7538574182347865E-3</v>
      </c>
      <c r="E33" s="410">
        <f>E31/453.6/1.341022</f>
        <v>1.972751114823355E-4</v>
      </c>
      <c r="G33" s="411"/>
      <c r="H33" s="411"/>
    </row>
    <row r="35" spans="1:22">
      <c r="A35" t="s">
        <v>427</v>
      </c>
      <c r="C35" t="s">
        <v>428</v>
      </c>
    </row>
    <row r="37" spans="1:22" ht="35.25" customHeight="1">
      <c r="A37" s="788" t="s">
        <v>429</v>
      </c>
      <c r="B37" s="788"/>
      <c r="C37" s="788"/>
      <c r="D37" s="788"/>
      <c r="E37" s="788"/>
      <c r="F37" s="788"/>
      <c r="G37" s="788"/>
      <c r="H37" s="788"/>
      <c r="I37" s="788"/>
      <c r="J37" s="788"/>
      <c r="K37" s="788"/>
      <c r="L37" s="788"/>
      <c r="M37" s="788"/>
      <c r="N37" s="788"/>
      <c r="O37" s="788"/>
      <c r="P37" s="788"/>
      <c r="Q37" s="788"/>
      <c r="R37" s="788"/>
      <c r="S37" s="788"/>
      <c r="T37" s="788"/>
      <c r="U37" s="788"/>
      <c r="V37" s="788"/>
    </row>
    <row r="39" spans="1:22" ht="15">
      <c r="A39" s="412" t="s">
        <v>430</v>
      </c>
    </row>
    <row r="40" spans="1:22" ht="15">
      <c r="A40" s="413"/>
    </row>
    <row r="41" spans="1:22" ht="15">
      <c r="A41" s="414" t="s">
        <v>431</v>
      </c>
    </row>
  </sheetData>
  <mergeCells count="6">
    <mergeCell ref="A37:V37"/>
    <mergeCell ref="A9:A10"/>
    <mergeCell ref="B9:B10"/>
    <mergeCell ref="C9:C10"/>
    <mergeCell ref="D9:D10"/>
    <mergeCell ref="E9:E10"/>
  </mergeCells>
  <pageMargins left="0.7" right="0.7" top="0.75" bottom="0.75" header="0.3" footer="0.3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EC865-A077-4C0C-A3D1-D00B9A435871}">
  <sheetPr>
    <pageSetUpPr fitToPage="1"/>
  </sheetPr>
  <dimension ref="A1:V44"/>
  <sheetViews>
    <sheetView zoomScale="140" zoomScaleNormal="140" workbookViewId="0">
      <selection activeCell="O12" sqref="O12"/>
    </sheetView>
  </sheetViews>
  <sheetFormatPr defaultRowHeight="12.75"/>
  <cols>
    <col min="1" max="1" width="19.85546875" customWidth="1"/>
    <col min="2" max="2" width="15.7109375" customWidth="1"/>
    <col min="3" max="3" width="13.140625" customWidth="1"/>
  </cols>
  <sheetData>
    <row r="1" spans="1:22" ht="15.75">
      <c r="A1" s="415" t="s">
        <v>433</v>
      </c>
      <c r="B1" s="241"/>
      <c r="C1" s="241"/>
      <c r="D1" s="241"/>
      <c r="E1" s="241"/>
      <c r="F1" s="241"/>
      <c r="G1" s="241"/>
      <c r="H1" s="241"/>
      <c r="I1" s="241"/>
      <c r="J1" s="416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</row>
    <row r="2" spans="1:22" ht="15.75">
      <c r="A2" s="415"/>
      <c r="B2" s="241"/>
      <c r="C2" s="241"/>
      <c r="D2" s="241"/>
      <c r="E2" s="241"/>
      <c r="F2" s="241"/>
      <c r="G2" s="241"/>
      <c r="H2" s="241"/>
      <c r="I2" s="241"/>
      <c r="J2" s="416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2" ht="14.25">
      <c r="A3" s="241"/>
      <c r="B3" s="241"/>
      <c r="C3" s="241"/>
      <c r="D3" s="241"/>
      <c r="E3" s="241"/>
      <c r="F3" s="241"/>
      <c r="G3" s="241"/>
      <c r="H3" s="420" t="s">
        <v>434</v>
      </c>
      <c r="I3" s="241"/>
      <c r="J3" s="241"/>
      <c r="K3" s="241"/>
      <c r="L3" s="241"/>
      <c r="M3" s="241"/>
      <c r="N3" s="241"/>
      <c r="P3" s="241"/>
      <c r="Q3" s="241"/>
      <c r="R3" s="241"/>
      <c r="S3" s="241"/>
      <c r="T3" s="241"/>
      <c r="U3" s="241"/>
      <c r="V3" s="241"/>
    </row>
    <row r="4" spans="1:2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</row>
    <row r="5" spans="1:22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</row>
    <row r="6" spans="1:22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</row>
    <row r="7" spans="1:22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</row>
    <row r="9" spans="1:22" ht="13.5" thickBot="1">
      <c r="A9" s="417"/>
      <c r="B9" s="418"/>
      <c r="C9" s="417"/>
      <c r="D9" s="417"/>
      <c r="E9" s="419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</row>
    <row r="10" spans="1:22" ht="13.5" thickBot="1">
      <c r="A10" s="789" t="s">
        <v>395</v>
      </c>
      <c r="B10" s="789" t="s">
        <v>396</v>
      </c>
      <c r="C10" s="792" t="s">
        <v>397</v>
      </c>
      <c r="D10" s="792" t="s">
        <v>398</v>
      </c>
      <c r="E10" s="792" t="s">
        <v>399</v>
      </c>
      <c r="F10" s="319" t="s">
        <v>350</v>
      </c>
      <c r="G10" s="320"/>
      <c r="H10" s="321"/>
      <c r="I10" s="321"/>
      <c r="J10" s="320"/>
      <c r="K10" s="322" t="s">
        <v>75</v>
      </c>
      <c r="L10" s="322"/>
      <c r="M10" s="323"/>
      <c r="N10" s="322" t="s">
        <v>400</v>
      </c>
      <c r="O10" s="322"/>
      <c r="P10" s="323"/>
      <c r="Q10" s="322" t="s">
        <v>401</v>
      </c>
      <c r="R10" s="322"/>
      <c r="S10" s="323"/>
      <c r="T10" s="322" t="s">
        <v>87</v>
      </c>
      <c r="U10" s="322"/>
      <c r="V10" s="324"/>
    </row>
    <row r="11" spans="1:22" ht="22.5" thickBot="1">
      <c r="A11" s="790"/>
      <c r="B11" s="791"/>
      <c r="C11" s="793"/>
      <c r="D11" s="793"/>
      <c r="E11" s="793"/>
      <c r="F11" s="318" t="s">
        <v>287</v>
      </c>
      <c r="G11" s="318" t="s">
        <v>402</v>
      </c>
      <c r="H11" s="318" t="s">
        <v>403</v>
      </c>
      <c r="I11" s="318" t="s">
        <v>393</v>
      </c>
      <c r="J11" s="318" t="s">
        <v>404</v>
      </c>
      <c r="K11" s="325" t="s">
        <v>287</v>
      </c>
      <c r="L11" s="318" t="s">
        <v>393</v>
      </c>
      <c r="M11" s="318" t="s">
        <v>402</v>
      </c>
      <c r="N11" s="325" t="s">
        <v>287</v>
      </c>
      <c r="O11" s="318" t="s">
        <v>393</v>
      </c>
      <c r="P11" s="318" t="s">
        <v>402</v>
      </c>
      <c r="Q11" s="325" t="s">
        <v>287</v>
      </c>
      <c r="R11" s="318" t="s">
        <v>393</v>
      </c>
      <c r="S11" s="318" t="s">
        <v>402</v>
      </c>
      <c r="T11" s="325" t="s">
        <v>287</v>
      </c>
      <c r="U11" s="318" t="s">
        <v>393</v>
      </c>
      <c r="V11" s="326" t="s">
        <v>402</v>
      </c>
    </row>
    <row r="12" spans="1:22" ht="22.5">
      <c r="A12" s="327" t="s">
        <v>405</v>
      </c>
      <c r="B12" s="328" t="s">
        <v>406</v>
      </c>
      <c r="C12" s="329">
        <f>E12*0.7457</f>
        <v>668.1472</v>
      </c>
      <c r="D12" s="330">
        <v>500</v>
      </c>
      <c r="E12" s="329">
        <v>896</v>
      </c>
      <c r="F12" s="331">
        <f>(E12*B34*D12)/453.6</f>
        <v>5055.9225679012352</v>
      </c>
      <c r="G12" s="332">
        <f>F12/2000</f>
        <v>2.5279612839506176</v>
      </c>
      <c r="H12" s="333">
        <f>G12/4</f>
        <v>0.6319903209876544</v>
      </c>
      <c r="I12" s="332">
        <f>(E12*$B$34)/453.6</f>
        <v>10.11184513580247</v>
      </c>
      <c r="J12" s="334">
        <f>I12*24</f>
        <v>242.6842832592593</v>
      </c>
      <c r="K12" s="335">
        <f>(E12*$D$34*D12)/453.6</f>
        <v>296.2962962962963</v>
      </c>
      <c r="L12" s="332">
        <f>(E12*$D$34)/453.6</f>
        <v>0.59259259259259256</v>
      </c>
      <c r="M12" s="336">
        <f>K12/2000</f>
        <v>0.14814814814814814</v>
      </c>
      <c r="N12" s="337">
        <f>D12*E12*$E$27</f>
        <v>1087.296</v>
      </c>
      <c r="O12" s="332">
        <f>($E$27*E12)</f>
        <v>2.1745920000000001</v>
      </c>
      <c r="P12" s="336">
        <f>N12/2000</f>
        <v>0.54364800000000002</v>
      </c>
      <c r="Q12" s="335">
        <f>(E12*$E$34*D12)/453.6</f>
        <v>29.62962962962963</v>
      </c>
      <c r="R12" s="332">
        <f>(E12*$E$34)/453.6</f>
        <v>5.9259259259259255E-2</v>
      </c>
      <c r="S12" s="338">
        <f>Q12/2000</f>
        <v>1.4814814814814815E-2</v>
      </c>
      <c r="T12" s="335">
        <f>(E12*$F$34*D12)/453.6</f>
        <v>237.90459259259259</v>
      </c>
      <c r="U12" s="332">
        <f>(G27*E12)</f>
        <v>0.63168000000000002</v>
      </c>
      <c r="V12" s="339">
        <f>T12/2000</f>
        <v>0.11895229629629629</v>
      </c>
    </row>
    <row r="13" spans="1:22">
      <c r="A13" s="340"/>
      <c r="B13" s="341"/>
      <c r="C13" s="342"/>
      <c r="D13" s="343"/>
      <c r="E13" s="341"/>
      <c r="F13" s="329"/>
      <c r="G13" s="332"/>
      <c r="H13" s="332"/>
      <c r="I13" s="332"/>
      <c r="J13" s="334"/>
      <c r="K13" s="335"/>
      <c r="L13" s="332"/>
      <c r="M13" s="336"/>
      <c r="N13" s="337"/>
      <c r="O13" s="332"/>
      <c r="P13" s="336"/>
      <c r="Q13" s="335"/>
      <c r="R13" s="332"/>
      <c r="S13" s="338"/>
      <c r="T13" s="337"/>
      <c r="U13" s="332"/>
      <c r="V13" s="344"/>
    </row>
    <row r="14" spans="1:22">
      <c r="A14" s="340"/>
      <c r="B14" s="345"/>
      <c r="C14" s="346"/>
      <c r="D14" s="345"/>
      <c r="E14" s="347"/>
      <c r="F14" s="348">
        <f>SUM(F12:F13)</f>
        <v>5055.9225679012352</v>
      </c>
      <c r="G14" s="349">
        <f>SUM(G12:G13)</f>
        <v>2.5279612839506176</v>
      </c>
      <c r="H14" s="350">
        <f>SUM(H12:H13)</f>
        <v>0.6319903209876544</v>
      </c>
      <c r="I14" s="348" t="s">
        <v>407</v>
      </c>
      <c r="J14" s="351" t="s">
        <v>407</v>
      </c>
      <c r="K14" s="352">
        <f>SUM(K12:K13)</f>
        <v>296.2962962962963</v>
      </c>
      <c r="L14" s="348" t="s">
        <v>407</v>
      </c>
      <c r="M14" s="353">
        <f>SUM(M12:M13)</f>
        <v>0.14814814814814814</v>
      </c>
      <c r="N14" s="354">
        <f>SUM(N12:N13)</f>
        <v>1087.296</v>
      </c>
      <c r="O14" s="355" t="s">
        <v>407</v>
      </c>
      <c r="P14" s="353">
        <f>SUM(P12:P13)</f>
        <v>0.54364800000000002</v>
      </c>
      <c r="Q14" s="354">
        <f>SUM(Q12:Q13)</f>
        <v>29.62962962962963</v>
      </c>
      <c r="R14" s="355" t="s">
        <v>407</v>
      </c>
      <c r="S14" s="353">
        <f>SUM(S12:S13)</f>
        <v>1.4814814814814815E-2</v>
      </c>
      <c r="T14" s="354">
        <f>SUM(T12:T13)</f>
        <v>237.90459259259259</v>
      </c>
      <c r="U14" s="356" t="s">
        <v>407</v>
      </c>
      <c r="V14" s="357">
        <f>SUM(V12:V13)</f>
        <v>0.11895229629629629</v>
      </c>
    </row>
    <row r="15" spans="1:22">
      <c r="A15" s="358"/>
      <c r="B15" s="359"/>
      <c r="C15" s="359"/>
      <c r="D15" s="359"/>
      <c r="E15" s="347"/>
      <c r="F15" s="356"/>
      <c r="G15" s="356"/>
      <c r="H15" s="356"/>
      <c r="I15" s="356"/>
      <c r="J15" s="360"/>
      <c r="K15" s="361"/>
      <c r="L15" s="356"/>
      <c r="M15" s="360"/>
      <c r="N15" s="361"/>
      <c r="O15" s="356"/>
      <c r="P15" s="360"/>
      <c r="Q15" s="361"/>
      <c r="R15" s="356"/>
      <c r="S15" s="360"/>
      <c r="T15" s="361"/>
      <c r="U15" s="356"/>
      <c r="V15" s="362"/>
    </row>
    <row r="16" spans="1:22" ht="13.5" thickBot="1">
      <c r="A16" s="363"/>
      <c r="B16" s="364"/>
      <c r="C16" s="364"/>
      <c r="D16" s="364"/>
      <c r="E16" s="365"/>
      <c r="F16" s="366"/>
      <c r="G16" s="366"/>
      <c r="H16" s="366"/>
      <c r="I16" s="366"/>
      <c r="J16" s="367"/>
      <c r="K16" s="368"/>
      <c r="L16" s="369"/>
      <c r="M16" s="370"/>
      <c r="N16" s="368"/>
      <c r="O16" s="369"/>
      <c r="P16" s="370"/>
      <c r="Q16" s="368"/>
      <c r="R16" s="369"/>
      <c r="S16" s="370"/>
      <c r="T16" s="368"/>
      <c r="U16" s="369"/>
      <c r="V16" s="371"/>
    </row>
    <row r="17" spans="1:22" ht="42">
      <c r="A17" s="372"/>
      <c r="B17" s="373"/>
      <c r="C17" s="373"/>
      <c r="D17" s="373"/>
      <c r="E17" s="374" t="s">
        <v>408</v>
      </c>
      <c r="F17" s="375"/>
      <c r="G17" s="376">
        <v>6.6</v>
      </c>
      <c r="H17" s="377">
        <v>2.75</v>
      </c>
      <c r="I17" s="376">
        <v>100</v>
      </c>
      <c r="J17" s="378">
        <v>1000</v>
      </c>
      <c r="K17" s="374"/>
      <c r="L17" s="374"/>
      <c r="M17" s="375"/>
      <c r="N17" s="374"/>
      <c r="O17" s="374"/>
      <c r="P17" s="374"/>
      <c r="Q17" s="375"/>
      <c r="R17" s="375"/>
      <c r="S17" s="374"/>
      <c r="T17" s="374"/>
      <c r="U17" s="374"/>
      <c r="V17" s="375"/>
    </row>
    <row r="18" spans="1:22"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</row>
    <row r="19" spans="1:22">
      <c r="B19" s="380"/>
      <c r="C19" s="381" t="s">
        <v>409</v>
      </c>
      <c r="D19" s="382"/>
      <c r="E19" s="383"/>
      <c r="F19" s="382"/>
      <c r="G19" s="382"/>
      <c r="H19" s="382"/>
      <c r="I19" s="382"/>
      <c r="J19" s="382"/>
      <c r="K19" s="384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</row>
    <row r="20" spans="1:22">
      <c r="B20" s="385"/>
      <c r="C20" s="386"/>
      <c r="D20" s="387" t="s">
        <v>410</v>
      </c>
      <c r="E20" s="379"/>
      <c r="F20" s="379"/>
      <c r="G20" s="379"/>
      <c r="H20" s="379"/>
      <c r="I20" s="379"/>
      <c r="J20" s="379"/>
      <c r="K20" s="388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</row>
    <row r="21" spans="1:22">
      <c r="B21" s="385"/>
      <c r="C21" s="386"/>
      <c r="D21" s="387"/>
      <c r="E21" s="379"/>
      <c r="F21" s="379"/>
      <c r="G21" s="379"/>
      <c r="H21" s="379"/>
      <c r="I21" s="379"/>
      <c r="J21" s="379"/>
      <c r="K21" s="388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</row>
    <row r="22" spans="1:22">
      <c r="B22" s="385"/>
      <c r="C22" s="386"/>
      <c r="D22" s="387" t="s">
        <v>411</v>
      </c>
      <c r="E22" s="379"/>
      <c r="F22" s="379"/>
      <c r="G22" s="379"/>
      <c r="H22" s="379"/>
      <c r="I22" s="379"/>
      <c r="J22" s="379"/>
      <c r="K22" s="388"/>
      <c r="L22" s="379"/>
      <c r="M22" s="379"/>
      <c r="N22" s="379"/>
      <c r="O22" s="379"/>
      <c r="P22" s="379"/>
      <c r="Q22" s="379"/>
      <c r="R22" s="379"/>
      <c r="S22" s="379"/>
      <c r="T22" s="379"/>
      <c r="U22" s="379"/>
      <c r="V22" s="379"/>
    </row>
    <row r="23" spans="1:22">
      <c r="B23" s="385"/>
      <c r="C23" s="389"/>
      <c r="D23" s="379"/>
      <c r="E23" s="386"/>
      <c r="F23" s="379"/>
      <c r="G23" s="379"/>
      <c r="H23" s="379"/>
      <c r="I23" s="379"/>
      <c r="J23" s="379"/>
      <c r="K23" s="388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</row>
    <row r="24" spans="1:22">
      <c r="B24" s="390"/>
      <c r="C24" s="391"/>
      <c r="D24" s="392"/>
      <c r="E24" s="391"/>
      <c r="F24" s="393"/>
      <c r="G24" s="393"/>
      <c r="H24" s="379"/>
      <c r="I24" s="379"/>
      <c r="J24" s="379"/>
      <c r="K24" s="388"/>
      <c r="L24" s="379"/>
      <c r="M24" s="379"/>
      <c r="N24" s="379"/>
      <c r="O24" s="379"/>
      <c r="P24" s="379"/>
      <c r="Q24" s="379"/>
      <c r="R24" s="379"/>
      <c r="S24" s="379"/>
      <c r="T24" s="379"/>
      <c r="U24" s="379"/>
      <c r="V24" s="379"/>
    </row>
    <row r="25" spans="1:22">
      <c r="B25" s="394" t="s">
        <v>412</v>
      </c>
      <c r="C25" s="391"/>
      <c r="D25" s="391"/>
      <c r="E25" s="393"/>
      <c r="F25" s="393"/>
      <c r="G25" s="395"/>
      <c r="H25" s="385"/>
      <c r="I25" s="379"/>
      <c r="J25" s="379"/>
      <c r="K25" s="396"/>
      <c r="L25" s="397"/>
      <c r="M25" s="386"/>
      <c r="N25" s="386"/>
      <c r="O25" s="386"/>
      <c r="P25" s="386"/>
      <c r="Q25" s="386"/>
      <c r="R25" s="386"/>
      <c r="S25" s="386"/>
      <c r="T25" s="379"/>
      <c r="U25" s="379"/>
      <c r="V25" s="379"/>
    </row>
    <row r="26" spans="1:22" ht="33.75">
      <c r="B26" s="385"/>
      <c r="C26" s="398" t="s">
        <v>413</v>
      </c>
      <c r="D26" s="398" t="s">
        <v>414</v>
      </c>
      <c r="E26" s="398" t="s">
        <v>415</v>
      </c>
      <c r="F26" s="398" t="s">
        <v>416</v>
      </c>
      <c r="G26" s="398" t="s">
        <v>417</v>
      </c>
      <c r="H26" s="399"/>
      <c r="I26" s="400"/>
      <c r="J26" s="400"/>
      <c r="K26" s="401"/>
      <c r="L26" s="386"/>
      <c r="M26" s="402"/>
      <c r="N26" s="402"/>
      <c r="O26" s="402"/>
      <c r="P26" s="402"/>
      <c r="Q26" s="402"/>
      <c r="R26" s="402"/>
      <c r="S26" s="402"/>
      <c r="T26" s="379"/>
      <c r="U26" s="379"/>
      <c r="V26" s="379"/>
    </row>
    <row r="27" spans="1:22" ht="22.5">
      <c r="A27" s="379"/>
      <c r="B27" s="403" t="s">
        <v>418</v>
      </c>
      <c r="C27" s="398">
        <v>2.4E-2</v>
      </c>
      <c r="D27" s="404">
        <v>5.4999999999999997E-3</v>
      </c>
      <c r="E27" s="398">
        <f>0.00809*0.3</f>
        <v>2.4269999999999999E-3</v>
      </c>
      <c r="F27" s="398">
        <v>6.9999999999999999E-4</v>
      </c>
      <c r="G27" s="404">
        <v>7.0500000000000001E-4</v>
      </c>
      <c r="H27" s="405"/>
      <c r="I27" s="406"/>
      <c r="J27" s="406"/>
      <c r="K27" s="401"/>
      <c r="L27" s="386"/>
      <c r="M27" s="402"/>
      <c r="N27" s="402"/>
      <c r="O27" s="402"/>
      <c r="P27" s="402"/>
      <c r="Q27" s="402"/>
      <c r="R27" s="402"/>
      <c r="S27" s="402"/>
      <c r="T27" s="379"/>
      <c r="U27" s="379"/>
      <c r="V27" s="379"/>
    </row>
    <row r="28" spans="1:22">
      <c r="B28" s="379"/>
      <c r="C28" s="400"/>
      <c r="D28" s="406"/>
      <c r="E28" s="400"/>
      <c r="F28" s="400"/>
      <c r="G28" s="406"/>
      <c r="H28" s="406"/>
      <c r="I28" s="406"/>
      <c r="J28" s="406"/>
      <c r="K28" s="386"/>
      <c r="L28" s="386"/>
      <c r="M28" s="402"/>
      <c r="N28" s="402"/>
      <c r="O28" s="402"/>
      <c r="P28" s="402"/>
      <c r="Q28" s="402"/>
      <c r="R28" s="402"/>
      <c r="S28" s="402"/>
      <c r="T28" s="379"/>
      <c r="U28" s="379"/>
      <c r="V28" s="379"/>
    </row>
    <row r="29" spans="1:22"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86"/>
      <c r="M29" s="402"/>
      <c r="N29" s="402"/>
      <c r="O29" s="402"/>
      <c r="P29" s="402"/>
      <c r="Q29" s="402"/>
      <c r="R29" s="402"/>
      <c r="S29" s="402"/>
      <c r="T29" s="379"/>
      <c r="U29" s="379"/>
      <c r="V29" s="379"/>
    </row>
    <row r="30" spans="1:22">
      <c r="B30" s="394" t="s">
        <v>419</v>
      </c>
      <c r="L30" s="386"/>
      <c r="M30" s="402"/>
      <c r="N30" s="402"/>
      <c r="O30" s="402"/>
      <c r="P30" s="402"/>
      <c r="Q30" s="402"/>
      <c r="R30" s="402"/>
      <c r="S30" s="402"/>
      <c r="T30" s="379"/>
      <c r="U30" s="379"/>
      <c r="V30" s="379"/>
    </row>
    <row r="31" spans="1:22" ht="22.5">
      <c r="B31" t="s">
        <v>350</v>
      </c>
      <c r="C31" s="407" t="s">
        <v>420</v>
      </c>
      <c r="D31" s="407" t="s">
        <v>421</v>
      </c>
      <c r="E31" s="407" t="s">
        <v>422</v>
      </c>
      <c r="F31" t="s">
        <v>423</v>
      </c>
      <c r="G31" s="400"/>
      <c r="L31" s="386"/>
      <c r="M31" s="402"/>
      <c r="N31" s="402"/>
      <c r="O31" s="402"/>
      <c r="P31" s="402"/>
      <c r="Q31" s="402"/>
      <c r="R31" s="402"/>
      <c r="S31" s="402"/>
      <c r="T31" s="379"/>
      <c r="U31" s="379"/>
      <c r="V31" s="379"/>
    </row>
    <row r="32" spans="1:22">
      <c r="B32" s="179">
        <f>C32*0.95506</f>
        <v>3.8202400000000001</v>
      </c>
      <c r="C32" s="398">
        <v>4</v>
      </c>
      <c r="D32" s="408">
        <v>3.5</v>
      </c>
      <c r="E32" s="398">
        <v>0.12</v>
      </c>
      <c r="F32" s="179">
        <f>C32*0.04494</f>
        <v>0.17976</v>
      </c>
      <c r="G32" s="195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</row>
    <row r="33" spans="1:22" ht="22.5">
      <c r="C33" s="407" t="s">
        <v>424</v>
      </c>
      <c r="D33" s="407" t="s">
        <v>425</v>
      </c>
      <c r="E33" s="407" t="s">
        <v>426</v>
      </c>
    </row>
    <row r="34" spans="1:22">
      <c r="B34" s="179">
        <f>C34*0.95506</f>
        <v>5.1191216000000006</v>
      </c>
      <c r="C34" s="409">
        <v>5.36</v>
      </c>
      <c r="D34" s="410">
        <v>0.3</v>
      </c>
      <c r="E34" s="410">
        <v>0.03</v>
      </c>
      <c r="F34" s="179">
        <f>C34*0.04494</f>
        <v>0.24087840000000002</v>
      </c>
      <c r="G34" s="411"/>
      <c r="H34" s="411"/>
    </row>
    <row r="36" spans="1:22">
      <c r="A36" t="s">
        <v>427</v>
      </c>
      <c r="C36" t="s">
        <v>428</v>
      </c>
    </row>
    <row r="38" spans="1:22" s="491" customFormat="1" ht="28.5" customHeight="1">
      <c r="A38" s="788" t="s">
        <v>429</v>
      </c>
      <c r="B38" s="788"/>
      <c r="C38" s="788"/>
      <c r="D38" s="788"/>
      <c r="E38" s="788"/>
      <c r="F38" s="788"/>
      <c r="G38" s="788"/>
      <c r="H38" s="788"/>
      <c r="I38" s="788"/>
      <c r="J38" s="788"/>
      <c r="K38" s="788"/>
      <c r="L38" s="788"/>
      <c r="M38" s="788"/>
      <c r="N38" s="788"/>
      <c r="O38" s="788"/>
      <c r="P38" s="788"/>
      <c r="Q38" s="788"/>
      <c r="R38" s="788"/>
      <c r="S38" s="788"/>
      <c r="T38" s="788"/>
      <c r="U38" s="788"/>
      <c r="V38" s="788"/>
    </row>
    <row r="40" spans="1:22" ht="15">
      <c r="A40" s="412" t="s">
        <v>430</v>
      </c>
    </row>
    <row r="41" spans="1:22" ht="15">
      <c r="A41" s="413"/>
    </row>
    <row r="42" spans="1:22" ht="15">
      <c r="A42" s="414" t="s">
        <v>431</v>
      </c>
    </row>
    <row r="43" spans="1:22" ht="15">
      <c r="A43" s="413"/>
    </row>
    <row r="44" spans="1:22">
      <c r="A44" t="s">
        <v>432</v>
      </c>
    </row>
  </sheetData>
  <mergeCells count="6">
    <mergeCell ref="A38:V3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scale="5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6E28-B594-43C7-8259-CCDC33D91830}">
  <dimension ref="A1:G31"/>
  <sheetViews>
    <sheetView workbookViewId="0">
      <selection activeCell="P38" sqref="P38"/>
    </sheetView>
  </sheetViews>
  <sheetFormatPr defaultColWidth="19" defaultRowHeight="12.75"/>
  <cols>
    <col min="1" max="1" width="18.7109375" style="473" customWidth="1"/>
    <col min="2" max="2" width="11.42578125" style="473" customWidth="1"/>
    <col min="3" max="3" width="16.85546875" style="473" customWidth="1"/>
    <col min="4" max="4" width="12.5703125" style="473" customWidth="1"/>
    <col min="5" max="5" width="13.5703125" style="473" customWidth="1"/>
    <col min="6" max="6" width="15.7109375" style="473" customWidth="1"/>
    <col min="7" max="7" width="6.5703125" style="473" customWidth="1"/>
    <col min="8" max="9" width="1.5703125" style="473" customWidth="1"/>
    <col min="10" max="249" width="8.85546875" style="473" customWidth="1"/>
    <col min="250" max="250" width="16.5703125" style="473" customWidth="1"/>
    <col min="251" max="251" width="9" style="473" customWidth="1"/>
    <col min="252" max="252" width="14.5703125" style="473" customWidth="1"/>
    <col min="253" max="253" width="12.5703125" style="473" customWidth="1"/>
    <col min="254" max="254" width="13.5703125" style="473" customWidth="1"/>
    <col min="255" max="255" width="12.7109375" style="473" customWidth="1"/>
    <col min="256" max="16384" width="19" style="473"/>
  </cols>
  <sheetData>
    <row r="1" spans="1:7" ht="15">
      <c r="A1" s="794" t="s">
        <v>618</v>
      </c>
      <c r="B1" s="794"/>
      <c r="C1" s="794"/>
      <c r="D1" s="794"/>
      <c r="E1" s="794"/>
      <c r="F1" s="794"/>
      <c r="G1" s="472"/>
    </row>
    <row r="2" spans="1:7" ht="15">
      <c r="A2" s="474"/>
      <c r="B2" s="474"/>
      <c r="C2" s="474"/>
      <c r="D2" s="474"/>
      <c r="E2" s="474"/>
      <c r="F2" s="474"/>
      <c r="G2" s="474"/>
    </row>
    <row r="3" spans="1:7" ht="15">
      <c r="A3" s="475" t="s">
        <v>595</v>
      </c>
      <c r="B3" s="474"/>
      <c r="C3" s="474"/>
      <c r="D3" s="474"/>
      <c r="E3" s="474"/>
      <c r="F3" s="474"/>
      <c r="G3" s="474"/>
    </row>
    <row r="4" spans="1:7" ht="15">
      <c r="A4" s="474"/>
      <c r="B4" s="474"/>
      <c r="C4" s="474"/>
      <c r="D4" s="474"/>
      <c r="E4" s="474"/>
      <c r="F4" s="474"/>
      <c r="G4" s="474"/>
    </row>
    <row r="5" spans="1:7" ht="15">
      <c r="A5" s="472" t="s">
        <v>596</v>
      </c>
    </row>
    <row r="6" spans="1:7">
      <c r="A6" s="473" t="s">
        <v>597</v>
      </c>
    </row>
    <row r="7" spans="1:7">
      <c r="A7" s="473" t="s">
        <v>598</v>
      </c>
    </row>
    <row r="8" spans="1:7">
      <c r="A8" s="473" t="s">
        <v>716</v>
      </c>
    </row>
    <row r="9" spans="1:7" ht="15">
      <c r="A9" s="472" t="s">
        <v>599</v>
      </c>
      <c r="B9" s="473">
        <v>77</v>
      </c>
      <c r="C9" s="473" t="s">
        <v>600</v>
      </c>
    </row>
    <row r="10" spans="1:7">
      <c r="B10" s="473">
        <v>103</v>
      </c>
      <c r="C10" s="473" t="s">
        <v>601</v>
      </c>
    </row>
    <row r="12" spans="1:7" ht="17.25">
      <c r="B12" s="473">
        <v>329</v>
      </c>
      <c r="C12" s="473" t="s">
        <v>602</v>
      </c>
    </row>
    <row r="13" spans="1:7" ht="17.25">
      <c r="B13" s="473">
        <v>2500</v>
      </c>
      <c r="C13" s="473" t="s">
        <v>603</v>
      </c>
    </row>
    <row r="16" spans="1:7" ht="15">
      <c r="A16" s="472" t="s">
        <v>604</v>
      </c>
      <c r="B16" s="476">
        <v>500</v>
      </c>
      <c r="C16" s="473" t="s">
        <v>605</v>
      </c>
    </row>
    <row r="18" spans="1:7" ht="15">
      <c r="A18" s="472" t="s">
        <v>606</v>
      </c>
    </row>
    <row r="19" spans="1:7">
      <c r="B19" s="477" t="s">
        <v>346</v>
      </c>
      <c r="C19" s="477" t="s">
        <v>607</v>
      </c>
      <c r="D19" s="795" t="s">
        <v>608</v>
      </c>
      <c r="E19" s="796"/>
    </row>
    <row r="20" spans="1:7">
      <c r="B20" s="478"/>
      <c r="C20" s="478"/>
      <c r="D20" s="478" t="s">
        <v>1</v>
      </c>
      <c r="E20" s="478" t="s">
        <v>215</v>
      </c>
    </row>
    <row r="21" spans="1:7">
      <c r="B21" s="479"/>
      <c r="C21" s="477" t="s">
        <v>609</v>
      </c>
      <c r="D21" s="479"/>
      <c r="E21" s="479"/>
    </row>
    <row r="22" spans="1:7">
      <c r="B22" s="480" t="s">
        <v>350</v>
      </c>
      <c r="C22" s="478">
        <v>6.6</v>
      </c>
      <c r="D22" s="481">
        <f>C22*$B$9*0.0022046</f>
        <v>1.12037772</v>
      </c>
      <c r="E22" s="481">
        <f>D22*$B$16/2000</f>
        <v>0.28009443000000001</v>
      </c>
    </row>
    <row r="23" spans="1:7">
      <c r="B23" s="479"/>
      <c r="C23" s="477" t="s">
        <v>609</v>
      </c>
      <c r="D23" s="477"/>
      <c r="E23" s="477"/>
    </row>
    <row r="24" spans="1:7">
      <c r="B24" s="480" t="s">
        <v>75</v>
      </c>
      <c r="C24" s="478">
        <v>30.4</v>
      </c>
      <c r="D24" s="481">
        <f>C24*$B$9*0.0022046</f>
        <v>5.1605276799999995</v>
      </c>
      <c r="E24" s="481">
        <f>D24*$B$16/2000</f>
        <v>1.2901319199999999</v>
      </c>
    </row>
    <row r="25" spans="1:7">
      <c r="B25" s="479"/>
      <c r="C25" s="477" t="s">
        <v>610</v>
      </c>
      <c r="D25" s="477"/>
      <c r="E25" s="477"/>
    </row>
    <row r="26" spans="1:7">
      <c r="B26" s="480" t="s">
        <v>400</v>
      </c>
      <c r="C26" s="482">
        <v>5.8799999999999998E-4</v>
      </c>
      <c r="D26" s="757">
        <f>C26*$B$13*$B$12/1000000</f>
        <v>4.8362999999999998E-4</v>
      </c>
      <c r="E26" s="757">
        <f>(D26*B16/2000)</f>
        <v>1.2090749999999999E-4</v>
      </c>
    </row>
    <row r="27" spans="1:7">
      <c r="B27" s="479"/>
      <c r="C27" s="477" t="s">
        <v>610</v>
      </c>
      <c r="D27" s="477"/>
      <c r="E27" s="483"/>
    </row>
    <row r="28" spans="1:7">
      <c r="B28" s="480" t="s">
        <v>611</v>
      </c>
      <c r="C28" s="482">
        <v>1.2E-2</v>
      </c>
      <c r="D28" s="481">
        <f>C28*$B$13*$B$12/1000000</f>
        <v>9.8700000000000003E-3</v>
      </c>
      <c r="E28" s="756">
        <f>D28*$B$16/2000</f>
        <v>2.4675000000000001E-3</v>
      </c>
    </row>
    <row r="29" spans="1:7">
      <c r="B29" s="479"/>
      <c r="C29" s="477" t="s">
        <v>610</v>
      </c>
      <c r="D29" s="477"/>
      <c r="E29" s="484"/>
    </row>
    <row r="30" spans="1:7">
      <c r="B30" s="480" t="s">
        <v>87</v>
      </c>
      <c r="C30" s="482">
        <v>0.11799999999999999</v>
      </c>
      <c r="D30" s="481">
        <f>C30*$B$13*$B$12/1000000</f>
        <v>9.7055000000000002E-2</v>
      </c>
      <c r="E30" s="481">
        <f>(D30*$B$16/2000)</f>
        <v>2.4263750000000001E-2</v>
      </c>
    </row>
    <row r="31" spans="1:7">
      <c r="B31" s="485"/>
      <c r="C31" s="486"/>
      <c r="D31" s="487"/>
      <c r="E31" s="487"/>
      <c r="F31" s="488"/>
      <c r="G31" s="489"/>
    </row>
  </sheetData>
  <mergeCells count="2">
    <mergeCell ref="A1:F1"/>
    <mergeCell ref="D19:E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B598-BA89-4E44-9050-21516BB4FBFE}">
  <sheetPr>
    <pageSetUpPr fitToPage="1"/>
  </sheetPr>
  <dimension ref="A1:R315"/>
  <sheetViews>
    <sheetView topLeftCell="A286" zoomScaleNormal="100" workbookViewId="0">
      <selection activeCell="L14" sqref="L14"/>
    </sheetView>
  </sheetViews>
  <sheetFormatPr defaultColWidth="8" defaultRowHeight="12.75"/>
  <cols>
    <col min="1" max="1" width="2.5703125" style="440" customWidth="1"/>
    <col min="2" max="2" width="10.85546875" style="440" customWidth="1"/>
    <col min="3" max="3" width="13.5703125" style="440" customWidth="1"/>
    <col min="4" max="4" width="12.42578125" style="440" customWidth="1"/>
    <col min="5" max="5" width="10.42578125" style="440" customWidth="1"/>
    <col min="6" max="6" width="10.5703125" style="440" customWidth="1"/>
    <col min="7" max="7" width="11" style="440" customWidth="1"/>
    <col min="8" max="8" width="7.140625" style="440" customWidth="1"/>
    <col min="9" max="9" width="11.28515625" style="440" customWidth="1"/>
    <col min="10" max="10" width="14.7109375" style="440" customWidth="1"/>
    <col min="11" max="11" width="13.140625" style="440" customWidth="1"/>
    <col min="12" max="13" width="10.42578125" style="440" customWidth="1"/>
    <col min="14" max="14" width="11.42578125" style="440" customWidth="1"/>
    <col min="15" max="15" width="3.28515625" style="440" customWidth="1"/>
    <col min="16" max="16384" width="8" style="440"/>
  </cols>
  <sheetData>
    <row r="1" spans="1:18" customFormat="1">
      <c r="Q1" s="174"/>
    </row>
    <row r="2" spans="1:18" customFormat="1">
      <c r="F2" s="174" t="s">
        <v>189</v>
      </c>
      <c r="G2" s="174"/>
      <c r="H2" t="s">
        <v>207</v>
      </c>
      <c r="Q2" s="174"/>
    </row>
    <row r="3" spans="1:18" customFormat="1">
      <c r="F3" s="174" t="s">
        <v>190</v>
      </c>
      <c r="G3" s="174"/>
      <c r="H3" t="s">
        <v>208</v>
      </c>
      <c r="R3" s="174"/>
    </row>
    <row r="4" spans="1:18" customFormat="1">
      <c r="H4" s="174" t="s">
        <v>305</v>
      </c>
      <c r="I4" t="s">
        <v>309</v>
      </c>
      <c r="Q4" s="174"/>
      <c r="R4" s="175"/>
    </row>
    <row r="5" spans="1:18" customFormat="1">
      <c r="F5" s="174" t="s">
        <v>191</v>
      </c>
      <c r="G5" s="174"/>
      <c r="H5" s="175" t="s">
        <v>718</v>
      </c>
    </row>
    <row r="6" spans="1:18" customFormat="1" ht="15.75">
      <c r="A6" s="250"/>
      <c r="B6" s="250"/>
      <c r="C6" s="250"/>
      <c r="D6" s="430" t="s">
        <v>632</v>
      </c>
      <c r="E6" s="430"/>
      <c r="F6" s="628"/>
      <c r="G6" s="628"/>
      <c r="H6" s="628"/>
      <c r="I6" s="628"/>
      <c r="J6" s="250"/>
      <c r="K6" s="250"/>
      <c r="L6" s="250"/>
      <c r="M6" s="250"/>
      <c r="N6" s="250"/>
      <c r="O6" s="250"/>
      <c r="P6" s="250"/>
    </row>
    <row r="7" spans="1:18" customFormat="1" ht="15.75" thickBot="1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</row>
    <row r="8" spans="1:18" ht="18" thickBot="1">
      <c r="A8" s="629"/>
      <c r="B8" s="629"/>
      <c r="C8" s="630" t="s">
        <v>633</v>
      </c>
      <c r="D8" s="631">
        <f>D118+D135+D168</f>
        <v>29.200537089577026</v>
      </c>
      <c r="E8" s="632" t="s">
        <v>563</v>
      </c>
      <c r="F8" s="633"/>
      <c r="G8" s="634"/>
      <c r="H8" s="629"/>
      <c r="I8" s="629"/>
      <c r="J8" s="629"/>
      <c r="K8" s="629"/>
      <c r="L8" s="629"/>
      <c r="M8" s="629"/>
      <c r="N8" s="629"/>
      <c r="O8" s="629"/>
      <c r="P8" s="629"/>
    </row>
    <row r="9" spans="1:18" ht="18" thickBot="1">
      <c r="A9" s="629"/>
      <c r="B9" s="629"/>
      <c r="C9" s="630" t="s">
        <v>634</v>
      </c>
      <c r="D9" s="631">
        <f>D120+D137+D170</f>
        <v>8.4370283674436539</v>
      </c>
      <c r="E9" s="632" t="s">
        <v>563</v>
      </c>
      <c r="F9" s="633"/>
      <c r="G9" s="634"/>
      <c r="H9" s="629"/>
      <c r="I9" s="629"/>
      <c r="J9" s="629"/>
      <c r="K9" s="629"/>
      <c r="L9" s="629"/>
      <c r="M9" s="629"/>
      <c r="N9" s="629"/>
      <c r="O9" s="629"/>
      <c r="P9" s="629"/>
    </row>
    <row r="10" spans="1:18" ht="16.5" thickBot="1">
      <c r="A10" s="629"/>
      <c r="B10" s="629"/>
      <c r="C10" s="629"/>
      <c r="D10" s="635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</row>
    <row r="11" spans="1:18" ht="18" thickBot="1">
      <c r="A11" s="629"/>
      <c r="B11" s="629"/>
      <c r="C11" s="630" t="s">
        <v>633</v>
      </c>
      <c r="D11" s="631">
        <f>D203+D237</f>
        <v>6.0392458891703731</v>
      </c>
      <c r="E11" s="632" t="s">
        <v>562</v>
      </c>
      <c r="F11" s="633"/>
      <c r="G11" s="634"/>
      <c r="H11" s="629"/>
      <c r="I11" s="629"/>
      <c r="J11" s="629"/>
      <c r="K11" s="629"/>
      <c r="L11" s="629"/>
      <c r="M11" s="629"/>
      <c r="N11" s="629"/>
      <c r="O11" s="629"/>
      <c r="P11" s="629"/>
    </row>
    <row r="12" spans="1:18" ht="18" thickBot="1">
      <c r="A12" s="629"/>
      <c r="B12" s="629"/>
      <c r="C12" s="630" t="s">
        <v>634</v>
      </c>
      <c r="D12" s="631">
        <f>D205+D239</f>
        <v>2.8564000827157172</v>
      </c>
      <c r="E12" s="632" t="s">
        <v>548</v>
      </c>
      <c r="F12" s="633"/>
      <c r="G12" s="634"/>
      <c r="H12" s="629"/>
      <c r="I12" s="629"/>
      <c r="J12" s="629"/>
      <c r="K12" s="629"/>
      <c r="L12" s="629"/>
      <c r="M12" s="629"/>
      <c r="N12" s="629"/>
      <c r="O12" s="629"/>
      <c r="P12" s="629"/>
    </row>
    <row r="13" spans="1:18" ht="16.5" thickBot="1">
      <c r="A13" s="629"/>
      <c r="B13" s="629"/>
      <c r="C13" s="629"/>
      <c r="D13" s="635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</row>
    <row r="14" spans="1:18" ht="18" thickBot="1">
      <c r="A14" s="629"/>
      <c r="B14" s="629"/>
      <c r="C14" s="630" t="s">
        <v>635</v>
      </c>
      <c r="D14" s="631">
        <f>D266</f>
        <v>4.5539744680851063E-2</v>
      </c>
      <c r="E14" s="632" t="s">
        <v>561</v>
      </c>
      <c r="F14" s="633"/>
      <c r="G14" s="634"/>
      <c r="H14" s="629"/>
      <c r="I14" s="629"/>
      <c r="J14" s="629"/>
      <c r="K14" s="629"/>
      <c r="L14" s="629"/>
      <c r="M14" s="629"/>
      <c r="N14" s="629"/>
      <c r="O14" s="629"/>
      <c r="P14" s="629"/>
    </row>
    <row r="15" spans="1:18" ht="18" thickBot="1">
      <c r="A15" s="629"/>
      <c r="B15" s="629"/>
      <c r="C15" s="630" t="s">
        <v>634</v>
      </c>
      <c r="D15" s="631">
        <f>D268</f>
        <v>2.2769872340425532E-2</v>
      </c>
      <c r="E15" s="632" t="s">
        <v>561</v>
      </c>
      <c r="F15" s="633"/>
      <c r="G15" s="634"/>
      <c r="H15" s="629"/>
      <c r="I15" s="629"/>
      <c r="J15" s="629"/>
      <c r="K15" s="629"/>
      <c r="L15" s="629"/>
      <c r="M15" s="629"/>
      <c r="N15" s="629"/>
      <c r="O15" s="629"/>
      <c r="P15" s="629"/>
    </row>
    <row r="16" spans="1:18" ht="16.5" thickBot="1">
      <c r="A16" s="629"/>
      <c r="B16" s="629"/>
      <c r="C16" s="636"/>
      <c r="D16" s="637"/>
      <c r="E16" s="638"/>
      <c r="F16" s="639"/>
      <c r="G16" s="629"/>
      <c r="H16" s="629"/>
      <c r="I16" s="629"/>
      <c r="J16" s="629"/>
      <c r="K16" s="629"/>
      <c r="L16" s="629"/>
      <c r="M16" s="629"/>
      <c r="N16" s="629"/>
      <c r="O16" s="629"/>
      <c r="P16" s="629"/>
    </row>
    <row r="17" spans="1:16" ht="18" thickBot="1">
      <c r="A17" s="629"/>
      <c r="B17" s="629"/>
      <c r="C17" s="630" t="s">
        <v>635</v>
      </c>
      <c r="D17" s="631">
        <f>D283</f>
        <v>0.71151629907402769</v>
      </c>
      <c r="E17" s="632" t="s">
        <v>577</v>
      </c>
      <c r="F17" s="633"/>
      <c r="G17" s="634"/>
      <c r="H17" s="629"/>
      <c r="I17" s="629"/>
      <c r="J17" s="629"/>
      <c r="K17" s="629"/>
      <c r="L17" s="629"/>
      <c r="M17" s="629"/>
      <c r="N17" s="629"/>
      <c r="O17" s="629"/>
      <c r="P17" s="629"/>
    </row>
    <row r="18" spans="1:16" ht="18" thickBot="1">
      <c r="A18" s="629"/>
      <c r="B18" s="629"/>
      <c r="C18" s="630" t="s">
        <v>634</v>
      </c>
      <c r="D18" s="631">
        <f>D285</f>
        <v>0.36998847551849434</v>
      </c>
      <c r="E18" s="632" t="s">
        <v>577</v>
      </c>
      <c r="F18" s="633"/>
      <c r="G18" s="634"/>
      <c r="H18" s="629"/>
      <c r="I18" s="629"/>
      <c r="J18" s="629"/>
      <c r="K18" s="629"/>
      <c r="L18" s="629"/>
      <c r="M18" s="629"/>
      <c r="N18" s="629"/>
      <c r="O18" s="629"/>
      <c r="P18" s="629"/>
    </row>
    <row r="19" spans="1:16" ht="16.5" thickBot="1">
      <c r="A19" s="629"/>
      <c r="B19" s="629"/>
      <c r="C19" s="636"/>
      <c r="D19" s="637"/>
      <c r="E19" s="638"/>
      <c r="F19" s="639"/>
      <c r="G19" s="629"/>
      <c r="H19" s="629"/>
      <c r="I19" s="629"/>
      <c r="J19" s="629"/>
      <c r="K19" s="629"/>
      <c r="L19" s="629"/>
      <c r="M19" s="629"/>
      <c r="N19" s="629"/>
      <c r="O19" s="629"/>
      <c r="P19" s="629"/>
    </row>
    <row r="20" spans="1:16" ht="18" thickBot="1">
      <c r="A20" s="629"/>
      <c r="B20" s="629"/>
      <c r="C20" s="630" t="s">
        <v>635</v>
      </c>
      <c r="D20" s="631">
        <f>D298</f>
        <v>0.32500000000000001</v>
      </c>
      <c r="E20" s="632" t="s">
        <v>578</v>
      </c>
      <c r="F20" s="633"/>
      <c r="G20" s="634"/>
      <c r="H20" s="629"/>
      <c r="I20" s="629"/>
      <c r="J20" s="629"/>
      <c r="K20" s="629"/>
      <c r="L20" s="629"/>
      <c r="M20" s="629"/>
      <c r="N20" s="629"/>
      <c r="O20" s="629"/>
      <c r="P20" s="629"/>
    </row>
    <row r="21" spans="1:16" ht="18" thickBot="1">
      <c r="A21" s="629"/>
      <c r="B21" s="629"/>
      <c r="C21" s="630" t="s">
        <v>634</v>
      </c>
      <c r="D21" s="631">
        <f>D300</f>
        <v>0.16900000000000001</v>
      </c>
      <c r="E21" s="632" t="s">
        <v>578</v>
      </c>
      <c r="F21" s="633"/>
      <c r="G21" s="634"/>
      <c r="H21" s="629"/>
      <c r="I21" s="629"/>
      <c r="J21" s="629"/>
      <c r="K21" s="629"/>
      <c r="L21" s="629"/>
      <c r="M21" s="629"/>
      <c r="N21" s="629"/>
      <c r="O21" s="629"/>
      <c r="P21" s="629"/>
    </row>
    <row r="22" spans="1:16" ht="15.75">
      <c r="A22" s="629"/>
      <c r="B22" s="629"/>
      <c r="C22" s="636"/>
      <c r="D22" s="637"/>
      <c r="E22" s="638"/>
      <c r="F22" s="639"/>
      <c r="G22" s="629"/>
      <c r="H22" s="629"/>
      <c r="I22" s="629"/>
      <c r="J22" s="629"/>
      <c r="K22" s="629"/>
      <c r="L22" s="629"/>
      <c r="M22" s="629"/>
      <c r="N22" s="629"/>
      <c r="O22" s="629"/>
      <c r="P22" s="629"/>
    </row>
    <row r="23" spans="1:16" ht="15.75">
      <c r="A23" s="439" t="s">
        <v>479</v>
      </c>
      <c r="B23" s="640"/>
      <c r="C23" s="640"/>
      <c r="D23" s="640"/>
      <c r="E23" s="640"/>
      <c r="F23" s="640"/>
      <c r="G23" s="640"/>
      <c r="H23" s="640"/>
      <c r="I23" s="629"/>
      <c r="J23" s="629"/>
      <c r="K23" s="629"/>
      <c r="L23" s="629"/>
      <c r="M23" s="629"/>
      <c r="N23" s="629"/>
      <c r="O23" s="629"/>
      <c r="P23" s="629"/>
    </row>
    <row r="24" spans="1:16" ht="6.75" customHeight="1">
      <c r="A24" s="641"/>
      <c r="B24" s="640"/>
      <c r="C24" s="640"/>
      <c r="D24" s="640"/>
      <c r="E24" s="640"/>
      <c r="F24" s="640"/>
      <c r="G24" s="640"/>
      <c r="H24" s="640"/>
      <c r="I24" s="629"/>
      <c r="J24" s="629"/>
      <c r="K24" s="629"/>
      <c r="L24" s="629"/>
      <c r="M24" s="629"/>
      <c r="N24" s="629"/>
      <c r="O24" s="629"/>
      <c r="P24" s="629"/>
    </row>
    <row r="25" spans="1:16" ht="18.75">
      <c r="A25" s="642"/>
      <c r="B25" s="643" t="s">
        <v>636</v>
      </c>
      <c r="C25" s="640"/>
      <c r="D25" s="640"/>
      <c r="E25" s="640"/>
      <c r="F25" s="640"/>
      <c r="G25" s="640"/>
      <c r="H25" s="640"/>
      <c r="I25" s="629"/>
      <c r="J25" s="629"/>
      <c r="K25" s="629"/>
      <c r="L25" s="629"/>
      <c r="M25" s="629"/>
      <c r="N25" s="629"/>
      <c r="O25" s="629"/>
      <c r="P25" s="629"/>
    </row>
    <row r="26" spans="1:16" ht="15.75">
      <c r="A26" s="642"/>
      <c r="B26" s="643" t="s">
        <v>480</v>
      </c>
      <c r="C26" s="640"/>
      <c r="D26" s="640"/>
      <c r="E26" s="640"/>
      <c r="F26" s="640"/>
      <c r="G26" s="640"/>
      <c r="H26" s="640"/>
      <c r="I26" s="629"/>
      <c r="J26" s="629"/>
      <c r="K26" s="629"/>
      <c r="L26" s="629"/>
      <c r="M26" s="629"/>
      <c r="N26" s="629"/>
      <c r="O26" s="629"/>
      <c r="P26" s="629"/>
    </row>
    <row r="27" spans="1:16" ht="15.75">
      <c r="A27" s="642"/>
      <c r="B27" s="643"/>
      <c r="C27" s="640"/>
      <c r="D27" s="640"/>
      <c r="E27" s="640"/>
      <c r="F27" s="640"/>
      <c r="G27" s="640"/>
      <c r="H27" s="640"/>
      <c r="I27" s="629"/>
      <c r="J27" s="629"/>
      <c r="K27" s="629"/>
      <c r="L27" s="629"/>
      <c r="M27" s="629"/>
      <c r="N27" s="629"/>
      <c r="O27" s="629"/>
      <c r="P27" s="629"/>
    </row>
    <row r="28" spans="1:16" ht="15.75">
      <c r="A28" s="441" t="s">
        <v>481</v>
      </c>
      <c r="B28" s="629"/>
      <c r="C28" s="629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</row>
    <row r="29" spans="1:16" ht="6.6" customHeight="1">
      <c r="A29" s="629"/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629"/>
      <c r="O29" s="629"/>
      <c r="P29" s="629"/>
    </row>
    <row r="30" spans="1:16" ht="15.75">
      <c r="A30" s="644">
        <v>1</v>
      </c>
      <c r="B30" s="645" t="s">
        <v>637</v>
      </c>
      <c r="C30" s="629"/>
      <c r="D30" s="629"/>
      <c r="E30" s="629"/>
      <c r="F30" s="629"/>
      <c r="G30" s="629"/>
      <c r="H30" s="629"/>
      <c r="I30" s="629"/>
      <c r="J30" s="629"/>
      <c r="K30" s="629"/>
      <c r="L30" s="629"/>
      <c r="M30" s="629"/>
      <c r="N30" s="629"/>
      <c r="O30" s="629"/>
      <c r="P30" s="629"/>
    </row>
    <row r="31" spans="1:16" ht="15.75">
      <c r="A31" s="629"/>
      <c r="B31" s="645" t="s">
        <v>482</v>
      </c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</row>
    <row r="32" spans="1:16" ht="7.15" customHeight="1">
      <c r="A32" s="645"/>
      <c r="B32" s="629"/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29"/>
      <c r="O32" s="629"/>
      <c r="P32" s="629"/>
    </row>
    <row r="33" spans="1:16" ht="15.75">
      <c r="A33" s="644">
        <v>2</v>
      </c>
      <c r="B33" s="645" t="s">
        <v>638</v>
      </c>
      <c r="C33" s="629"/>
      <c r="D33" s="629"/>
      <c r="E33" s="629"/>
      <c r="F33" s="629"/>
      <c r="G33" s="629"/>
      <c r="H33" s="629"/>
      <c r="I33" s="629"/>
      <c r="J33" s="629"/>
      <c r="K33" s="629"/>
      <c r="L33" s="629"/>
      <c r="M33" s="629"/>
      <c r="N33" s="629"/>
      <c r="O33" s="629"/>
      <c r="P33" s="629"/>
    </row>
    <row r="34" spans="1:16" ht="15.75">
      <c r="A34" s="629"/>
      <c r="B34" s="645" t="s">
        <v>483</v>
      </c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29"/>
      <c r="N34" s="629"/>
      <c r="O34" s="629"/>
      <c r="P34" s="629"/>
    </row>
    <row r="35" spans="1:16" ht="7.5" hidden="1" customHeight="1">
      <c r="A35" s="629"/>
      <c r="B35" s="645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9"/>
      <c r="P35" s="629"/>
    </row>
    <row r="36" spans="1:16" ht="15.75" hidden="1">
      <c r="A36" s="644">
        <f>A33+1</f>
        <v>3</v>
      </c>
      <c r="B36" s="645" t="s">
        <v>639</v>
      </c>
      <c r="C36" s="629"/>
      <c r="D36" s="629"/>
      <c r="E36" s="629"/>
      <c r="F36" s="629"/>
      <c r="G36" s="629"/>
      <c r="H36" s="629"/>
      <c r="I36" s="629"/>
      <c r="J36" s="629"/>
      <c r="K36" s="629"/>
      <c r="L36" s="629"/>
      <c r="M36" s="629"/>
      <c r="N36" s="629"/>
      <c r="O36" s="629"/>
      <c r="P36" s="629"/>
    </row>
    <row r="37" spans="1:16" ht="15.75">
      <c r="A37" s="629"/>
      <c r="B37" s="645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</row>
    <row r="38" spans="1:16" ht="15.75">
      <c r="A38" s="441" t="s">
        <v>484</v>
      </c>
      <c r="B38" s="629"/>
      <c r="C38" s="629"/>
      <c r="D38" s="629"/>
      <c r="E38" s="629"/>
      <c r="F38" s="629"/>
      <c r="G38" s="629"/>
      <c r="H38" s="629"/>
      <c r="I38" s="629"/>
      <c r="J38" s="629"/>
      <c r="K38" s="629"/>
      <c r="L38" s="629"/>
      <c r="M38" s="629"/>
      <c r="N38" s="629"/>
      <c r="O38" s="629"/>
      <c r="P38" s="629"/>
    </row>
    <row r="39" spans="1:16" ht="6.75" customHeight="1">
      <c r="A39" s="441"/>
      <c r="B39" s="629"/>
      <c r="C39" s="629"/>
      <c r="D39" s="629"/>
      <c r="E39" s="629"/>
      <c r="F39" s="629"/>
      <c r="G39" s="629"/>
      <c r="H39" s="629"/>
      <c r="I39" s="629"/>
      <c r="J39" s="629"/>
      <c r="K39" s="629"/>
      <c r="L39" s="629"/>
      <c r="M39" s="629"/>
      <c r="N39" s="629"/>
      <c r="O39" s="629"/>
      <c r="P39" s="629"/>
    </row>
    <row r="40" spans="1:16" ht="15" customHeight="1">
      <c r="A40" s="754" t="s">
        <v>485</v>
      </c>
      <c r="B40" s="629"/>
      <c r="C40" s="754"/>
      <c r="D40" s="754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</row>
    <row r="41" spans="1:16" ht="6" customHeight="1">
      <c r="A41" s="644"/>
      <c r="B41" s="755"/>
      <c r="C41" s="754"/>
      <c r="D41" s="754"/>
      <c r="E41" s="629"/>
      <c r="F41" s="629"/>
      <c r="G41" s="629"/>
      <c r="H41" s="629"/>
      <c r="I41" s="629"/>
      <c r="J41" s="629"/>
      <c r="K41" s="629"/>
      <c r="L41" s="629"/>
      <c r="M41" s="629"/>
      <c r="N41" s="629"/>
      <c r="O41" s="629"/>
      <c r="P41" s="629"/>
    </row>
    <row r="42" spans="1:16" ht="15.75">
      <c r="A42" s="644">
        <v>1</v>
      </c>
      <c r="B42" s="755" t="s">
        <v>486</v>
      </c>
      <c r="C42" s="754"/>
      <c r="D42" s="754"/>
      <c r="E42" s="629"/>
      <c r="F42" s="629"/>
      <c r="G42" s="629"/>
      <c r="H42" s="629"/>
      <c r="I42" s="629"/>
      <c r="J42" s="629"/>
      <c r="K42" s="629"/>
      <c r="L42" s="629"/>
      <c r="M42" s="629"/>
      <c r="N42" s="629"/>
      <c r="O42" s="629"/>
      <c r="P42" s="629"/>
    </row>
    <row r="43" spans="1:16" ht="15.75">
      <c r="A43" s="644"/>
      <c r="B43" s="755" t="s">
        <v>487</v>
      </c>
      <c r="C43" s="754"/>
      <c r="D43" s="754"/>
      <c r="E43" s="629"/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</row>
    <row r="44" spans="1:16" ht="6" customHeight="1">
      <c r="A44" s="644"/>
      <c r="B44" s="755"/>
      <c r="C44" s="754"/>
      <c r="D44" s="754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</row>
    <row r="45" spans="1:16" ht="15.75">
      <c r="A45" s="644">
        <v>2</v>
      </c>
      <c r="B45" s="754" t="s">
        <v>488</v>
      </c>
      <c r="C45" s="629"/>
      <c r="D45" s="754"/>
      <c r="E45" s="629"/>
      <c r="F45" s="629"/>
      <c r="G45" s="629"/>
      <c r="H45" s="629"/>
      <c r="I45" s="629"/>
      <c r="J45" s="629"/>
      <c r="K45" s="629"/>
      <c r="L45" s="629"/>
      <c r="M45" s="629"/>
      <c r="N45" s="629"/>
      <c r="O45" s="629"/>
      <c r="P45" s="629"/>
    </row>
    <row r="46" spans="1:16" ht="15.75">
      <c r="A46" s="644"/>
      <c r="B46" s="754" t="s">
        <v>489</v>
      </c>
      <c r="C46" s="629"/>
      <c r="D46" s="754"/>
      <c r="E46" s="629"/>
      <c r="F46" s="629"/>
      <c r="G46" s="629"/>
      <c r="H46" s="629"/>
      <c r="I46" s="629"/>
      <c r="J46" s="629"/>
      <c r="K46" s="629"/>
      <c r="L46" s="629"/>
      <c r="M46" s="629"/>
      <c r="N46" s="629"/>
      <c r="O46" s="629"/>
      <c r="P46" s="629"/>
    </row>
    <row r="47" spans="1:16" ht="6" customHeight="1">
      <c r="A47" s="644"/>
      <c r="B47" s="755"/>
      <c r="C47" s="754"/>
      <c r="D47" s="754"/>
      <c r="E47" s="629"/>
      <c r="F47" s="629"/>
      <c r="G47" s="629"/>
      <c r="H47" s="629"/>
      <c r="I47" s="629"/>
      <c r="J47" s="629"/>
      <c r="K47" s="629"/>
      <c r="L47" s="629"/>
      <c r="M47" s="629"/>
      <c r="N47" s="629"/>
      <c r="O47" s="629"/>
      <c r="P47" s="629"/>
    </row>
    <row r="48" spans="1:16" ht="15" customHeight="1">
      <c r="A48" s="644">
        <v>3</v>
      </c>
      <c r="B48" s="754" t="s">
        <v>490</v>
      </c>
      <c r="C48" s="754"/>
      <c r="D48" s="754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</row>
    <row r="49" spans="1:16" ht="13.5" customHeight="1">
      <c r="A49" s="644"/>
      <c r="B49" s="754" t="s">
        <v>491</v>
      </c>
      <c r="C49" s="754"/>
      <c r="D49" s="754"/>
      <c r="E49" s="629"/>
      <c r="F49" s="629"/>
      <c r="G49" s="629"/>
      <c r="H49" s="629"/>
      <c r="I49" s="629"/>
      <c r="J49" s="629"/>
      <c r="K49" s="629"/>
      <c r="L49" s="629"/>
      <c r="M49" s="629"/>
      <c r="N49" s="629"/>
      <c r="O49" s="629"/>
      <c r="P49" s="629"/>
    </row>
    <row r="50" spans="1:16" ht="6" customHeight="1">
      <c r="A50" s="644"/>
      <c r="B50" s="755"/>
      <c r="C50" s="754"/>
      <c r="D50" s="754"/>
      <c r="E50" s="629"/>
      <c r="F50" s="629"/>
      <c r="G50" s="629"/>
      <c r="H50" s="629"/>
      <c r="I50" s="629"/>
      <c r="J50" s="629"/>
      <c r="K50" s="629"/>
      <c r="L50" s="629"/>
      <c r="M50" s="629"/>
      <c r="N50" s="629"/>
      <c r="O50" s="629"/>
      <c r="P50" s="629"/>
    </row>
    <row r="51" spans="1:16" ht="13.5" customHeight="1">
      <c r="A51" s="644">
        <v>4.3</v>
      </c>
      <c r="B51" s="754" t="s">
        <v>492</v>
      </c>
      <c r="C51" s="754"/>
      <c r="D51" s="754"/>
      <c r="E51" s="629"/>
      <c r="F51" s="629"/>
      <c r="G51" s="629"/>
      <c r="H51" s="629"/>
      <c r="I51" s="629"/>
      <c r="J51" s="629"/>
      <c r="K51" s="629"/>
      <c r="L51" s="629"/>
      <c r="M51" s="629"/>
      <c r="N51" s="629"/>
      <c r="O51" s="629"/>
      <c r="P51" s="629"/>
    </row>
    <row r="52" spans="1:16" ht="13.5" customHeight="1">
      <c r="A52" s="644"/>
      <c r="B52" s="754" t="s">
        <v>493</v>
      </c>
      <c r="C52" s="754"/>
      <c r="D52" s="754"/>
      <c r="E52" s="629"/>
      <c r="F52" s="629"/>
      <c r="G52" s="629"/>
      <c r="H52" s="629"/>
      <c r="I52" s="629"/>
      <c r="J52" s="629"/>
      <c r="K52" s="629"/>
      <c r="L52" s="629"/>
      <c r="M52" s="629"/>
      <c r="N52" s="629"/>
      <c r="O52" s="629"/>
      <c r="P52" s="629"/>
    </row>
    <row r="53" spans="1:16" ht="6" customHeight="1">
      <c r="A53" s="644"/>
      <c r="B53" s="755"/>
      <c r="C53" s="754"/>
      <c r="D53" s="754"/>
      <c r="E53" s="629"/>
      <c r="F53" s="629"/>
      <c r="G53" s="629"/>
      <c r="H53" s="629"/>
      <c r="I53" s="629"/>
      <c r="J53" s="629"/>
      <c r="K53" s="629"/>
      <c r="L53" s="629"/>
      <c r="M53" s="629"/>
      <c r="N53" s="629"/>
      <c r="O53" s="629"/>
      <c r="P53" s="629"/>
    </row>
    <row r="54" spans="1:16" ht="12.6" customHeight="1">
      <c r="A54" s="644">
        <v>5</v>
      </c>
      <c r="B54" s="645" t="s">
        <v>579</v>
      </c>
      <c r="C54" s="754"/>
      <c r="D54" s="754"/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29"/>
      <c r="P54" s="629"/>
    </row>
    <row r="55" spans="1:16" ht="6" hidden="1" customHeight="1">
      <c r="A55" s="644"/>
      <c r="B55" s="755"/>
      <c r="C55" s="754"/>
      <c r="D55" s="754"/>
      <c r="E55" s="629"/>
      <c r="F55" s="629"/>
      <c r="G55" s="629"/>
      <c r="H55" s="629"/>
      <c r="I55" s="629"/>
      <c r="J55" s="629"/>
      <c r="K55" s="629"/>
      <c r="L55" s="629"/>
      <c r="M55" s="629"/>
      <c r="N55" s="629"/>
      <c r="O55" s="629"/>
      <c r="P55" s="629"/>
    </row>
    <row r="56" spans="1:16" ht="15.75" hidden="1">
      <c r="A56" s="644">
        <v>6</v>
      </c>
      <c r="B56" s="629" t="str">
        <f>"A typical soil density of 1.15 tons/cy was used to convert from site specific soil usage of 25,867 cubic yards "</f>
        <v xml:space="preserve">A typical soil density of 1.15 tons/cy was used to convert from site specific soil usage of 25,867 cubic yards </v>
      </c>
      <c r="C56" s="629"/>
      <c r="D56" s="629"/>
      <c r="E56" s="629"/>
      <c r="F56" s="629"/>
      <c r="G56" s="646"/>
      <c r="H56" s="629"/>
      <c r="I56" s="629"/>
      <c r="J56" s="629"/>
      <c r="K56" s="629"/>
      <c r="L56" s="639"/>
      <c r="M56" s="629"/>
      <c r="N56" s="629"/>
      <c r="O56" s="629"/>
      <c r="P56" s="629"/>
    </row>
    <row r="57" spans="1:16" ht="14.25" hidden="1" customHeight="1">
      <c r="A57" s="644"/>
      <c r="B57" s="629" t="s">
        <v>494</v>
      </c>
      <c r="C57" s="629"/>
      <c r="D57" s="629"/>
      <c r="E57" s="629"/>
      <c r="F57" s="629"/>
      <c r="G57" s="629"/>
      <c r="H57" s="629"/>
      <c r="I57" s="629"/>
      <c r="J57" s="629"/>
      <c r="K57" s="629"/>
      <c r="L57" s="639"/>
      <c r="M57" s="629"/>
      <c r="N57" s="629"/>
      <c r="O57" s="629"/>
      <c r="P57" s="629"/>
    </row>
    <row r="58" spans="1:16" ht="15.75">
      <c r="A58" s="644"/>
      <c r="B58" s="629"/>
      <c r="C58" s="629"/>
      <c r="D58" s="629"/>
      <c r="E58" s="629"/>
      <c r="F58" s="629"/>
      <c r="G58" s="629"/>
      <c r="H58" s="629"/>
      <c r="I58" s="629"/>
      <c r="J58" s="629"/>
      <c r="K58" s="629"/>
      <c r="L58" s="629"/>
      <c r="M58" s="629"/>
      <c r="N58" s="629"/>
      <c r="O58" s="629"/>
      <c r="P58" s="629"/>
    </row>
    <row r="59" spans="1:16" ht="12.6" customHeight="1">
      <c r="A59" s="644">
        <v>6</v>
      </c>
      <c r="B59" s="645" t="s">
        <v>580</v>
      </c>
      <c r="C59" s="754"/>
      <c r="D59" s="754"/>
      <c r="E59" s="629"/>
      <c r="F59" s="629"/>
      <c r="G59" s="629"/>
      <c r="H59" s="629"/>
      <c r="I59" s="629"/>
      <c r="J59" s="629"/>
      <c r="K59" s="629"/>
      <c r="L59" s="629"/>
      <c r="M59" s="629"/>
      <c r="N59" s="629"/>
      <c r="O59" s="629"/>
      <c r="P59" s="629"/>
    </row>
    <row r="60" spans="1:16" ht="6" hidden="1" customHeight="1">
      <c r="A60" s="644"/>
      <c r="B60" s="755"/>
      <c r="C60" s="754"/>
      <c r="D60" s="754"/>
      <c r="E60" s="629"/>
      <c r="F60" s="629"/>
      <c r="G60" s="629"/>
      <c r="H60" s="629"/>
      <c r="I60" s="629"/>
      <c r="J60" s="629"/>
      <c r="K60" s="629"/>
      <c r="L60" s="629"/>
      <c r="M60" s="629"/>
      <c r="N60" s="629"/>
      <c r="O60" s="629"/>
      <c r="P60" s="629"/>
    </row>
    <row r="61" spans="1:16" ht="15.75" hidden="1">
      <c r="A61" s="644">
        <v>6</v>
      </c>
      <c r="B61" s="629" t="str">
        <f>"A typical soil density of 1.15 tons/cy was used to convert from site specific soil usage of 25,867 cubic yards "</f>
        <v xml:space="preserve">A typical soil density of 1.15 tons/cy was used to convert from site specific soil usage of 25,867 cubic yards </v>
      </c>
      <c r="C61" s="629"/>
      <c r="D61" s="629"/>
      <c r="E61" s="629"/>
      <c r="F61" s="629"/>
      <c r="G61" s="646"/>
      <c r="H61" s="629"/>
      <c r="I61" s="629"/>
      <c r="J61" s="629"/>
      <c r="K61" s="629"/>
      <c r="L61" s="639"/>
      <c r="M61" s="629"/>
      <c r="N61" s="629"/>
      <c r="O61" s="629"/>
      <c r="P61" s="629"/>
    </row>
    <row r="62" spans="1:16" ht="14.25" hidden="1" customHeight="1">
      <c r="A62" s="644"/>
      <c r="B62" s="629" t="s">
        <v>494</v>
      </c>
      <c r="C62" s="629"/>
      <c r="D62" s="629"/>
      <c r="E62" s="629"/>
      <c r="F62" s="629"/>
      <c r="G62" s="629"/>
      <c r="H62" s="629"/>
      <c r="I62" s="629"/>
      <c r="J62" s="629"/>
      <c r="K62" s="629"/>
      <c r="L62" s="639"/>
      <c r="M62" s="629"/>
      <c r="N62" s="629"/>
      <c r="O62" s="629"/>
      <c r="P62" s="629"/>
    </row>
    <row r="63" spans="1:16" ht="15.75">
      <c r="A63" s="644"/>
      <c r="B63" s="755" t="s">
        <v>487</v>
      </c>
      <c r="C63" s="754"/>
      <c r="D63" s="754"/>
      <c r="E63" s="629"/>
      <c r="F63" s="629"/>
      <c r="G63" s="629"/>
      <c r="H63" s="629"/>
      <c r="I63" s="629"/>
      <c r="J63" s="629"/>
      <c r="K63" s="629"/>
      <c r="L63" s="629"/>
      <c r="M63" s="629"/>
      <c r="N63" s="629"/>
      <c r="O63" s="629"/>
      <c r="P63" s="629"/>
    </row>
    <row r="64" spans="1:16" ht="15.75">
      <c r="A64" s="644"/>
      <c r="B64" s="629"/>
      <c r="C64" s="629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</row>
    <row r="65" spans="1:16" ht="12.6" customHeight="1">
      <c r="A65" s="644">
        <v>7</v>
      </c>
      <c r="B65" s="645" t="s">
        <v>581</v>
      </c>
      <c r="C65" s="754"/>
      <c r="D65" s="754"/>
      <c r="E65" s="629"/>
      <c r="F65" s="629"/>
      <c r="G65" s="629"/>
      <c r="H65" s="629"/>
      <c r="I65" s="629"/>
      <c r="J65" s="629"/>
      <c r="K65" s="629"/>
      <c r="L65" s="629"/>
      <c r="M65" s="629"/>
      <c r="N65" s="629"/>
      <c r="O65" s="629"/>
      <c r="P65" s="629"/>
    </row>
    <row r="66" spans="1:16" ht="6" hidden="1" customHeight="1">
      <c r="A66" s="644"/>
      <c r="B66" s="755"/>
      <c r="C66" s="754"/>
      <c r="D66" s="754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</row>
    <row r="67" spans="1:16" ht="15.75" hidden="1">
      <c r="A67" s="644">
        <v>6</v>
      </c>
      <c r="B67" s="629" t="str">
        <f>"A typical soil density of 1.15 tons/cy was used to convert from site specific soil usage of 25,867 cubic yards "</f>
        <v xml:space="preserve">A typical soil density of 1.15 tons/cy was used to convert from site specific soil usage of 25,867 cubic yards </v>
      </c>
      <c r="C67" s="629"/>
      <c r="D67" s="629"/>
      <c r="E67" s="629"/>
      <c r="F67" s="629"/>
      <c r="G67" s="646"/>
      <c r="H67" s="629"/>
      <c r="I67" s="629"/>
      <c r="J67" s="629"/>
      <c r="K67" s="629"/>
      <c r="L67" s="639"/>
      <c r="M67" s="629"/>
      <c r="N67" s="629"/>
      <c r="O67" s="629"/>
      <c r="P67" s="629"/>
    </row>
    <row r="68" spans="1:16" ht="14.25" hidden="1" customHeight="1">
      <c r="A68" s="644"/>
      <c r="B68" s="629" t="s">
        <v>494</v>
      </c>
      <c r="C68" s="629"/>
      <c r="D68" s="629"/>
      <c r="E68" s="629"/>
      <c r="F68" s="629"/>
      <c r="G68" s="629"/>
      <c r="H68" s="629"/>
      <c r="I68" s="629"/>
      <c r="J68" s="629"/>
      <c r="K68" s="629"/>
      <c r="L68" s="639"/>
      <c r="M68" s="629"/>
      <c r="N68" s="629"/>
      <c r="O68" s="629"/>
      <c r="P68" s="629"/>
    </row>
    <row r="69" spans="1:16" ht="15.75">
      <c r="A69" s="644"/>
      <c r="B69" s="754" t="s">
        <v>582</v>
      </c>
      <c r="C69" s="629"/>
      <c r="D69" s="754"/>
      <c r="E69" s="629"/>
      <c r="F69" s="629"/>
      <c r="G69" s="629"/>
      <c r="H69" s="629"/>
      <c r="I69" s="629"/>
      <c r="J69" s="629"/>
      <c r="K69" s="629"/>
      <c r="L69" s="629"/>
      <c r="M69" s="629"/>
      <c r="N69" s="629"/>
      <c r="O69" s="629"/>
      <c r="P69" s="629"/>
    </row>
    <row r="70" spans="1:16" ht="15.75">
      <c r="A70" s="644"/>
      <c r="B70" s="629"/>
      <c r="C70" s="629"/>
      <c r="D70" s="629"/>
      <c r="E70" s="629"/>
      <c r="F70" s="629"/>
      <c r="G70" s="629"/>
      <c r="H70" s="629"/>
      <c r="I70" s="629"/>
      <c r="J70" s="629"/>
      <c r="K70" s="629"/>
      <c r="L70" s="629"/>
      <c r="M70" s="629"/>
      <c r="N70" s="629"/>
      <c r="O70" s="629"/>
      <c r="P70" s="629"/>
    </row>
    <row r="71" spans="1:16" ht="15.75">
      <c r="A71" s="441" t="s">
        <v>495</v>
      </c>
      <c r="B71" s="629"/>
      <c r="C71" s="629"/>
      <c r="D71" s="629"/>
      <c r="E71" s="629"/>
      <c r="F71" s="629"/>
      <c r="G71" s="629"/>
      <c r="H71" s="629"/>
      <c r="I71" s="629"/>
      <c r="J71" s="629"/>
      <c r="K71" s="629"/>
      <c r="L71" s="629"/>
      <c r="M71" s="629"/>
      <c r="N71" s="629"/>
      <c r="O71" s="629"/>
      <c r="P71" s="629"/>
    </row>
    <row r="72" spans="1:16" ht="6.6" customHeight="1">
      <c r="A72" s="644"/>
      <c r="B72" s="629"/>
      <c r="C72" s="629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</row>
    <row r="73" spans="1:16" ht="18.75">
      <c r="A73" s="647">
        <v>1</v>
      </c>
      <c r="B73" s="648" t="s">
        <v>549</v>
      </c>
      <c r="C73" s="648"/>
      <c r="D73" s="649" t="s">
        <v>640</v>
      </c>
      <c r="E73" s="650">
        <v>300000</v>
      </c>
      <c r="F73" s="648" t="s">
        <v>271</v>
      </c>
      <c r="G73" s="629"/>
      <c r="H73" s="629"/>
      <c r="I73" s="629"/>
      <c r="J73" s="651"/>
      <c r="K73" s="646"/>
      <c r="L73" s="629"/>
      <c r="M73" s="629"/>
      <c r="N73" s="629"/>
      <c r="O73" s="629"/>
      <c r="P73" s="629"/>
    </row>
    <row r="74" spans="1:16" ht="18.75">
      <c r="A74" s="647">
        <v>2</v>
      </c>
      <c r="B74" s="648" t="s">
        <v>478</v>
      </c>
      <c r="C74" s="648"/>
      <c r="D74" s="649" t="s">
        <v>640</v>
      </c>
      <c r="E74" s="650">
        <v>2000000</v>
      </c>
      <c r="F74" s="648" t="s">
        <v>271</v>
      </c>
      <c r="G74" s="629"/>
      <c r="H74" s="629"/>
      <c r="I74" s="629"/>
      <c r="J74" s="651"/>
      <c r="K74" s="646"/>
      <c r="L74" s="629"/>
      <c r="M74" s="629"/>
      <c r="N74" s="629"/>
      <c r="O74" s="629"/>
      <c r="P74" s="629"/>
    </row>
    <row r="75" spans="1:16" ht="18.75">
      <c r="A75" s="647">
        <v>3</v>
      </c>
      <c r="B75" s="648" t="s">
        <v>550</v>
      </c>
      <c r="C75" s="648"/>
      <c r="D75" s="649" t="s">
        <v>640</v>
      </c>
      <c r="E75" s="650">
        <f>'[1]Input Sheet'!D10</f>
        <v>1252</v>
      </c>
      <c r="F75" s="648" t="s">
        <v>452</v>
      </c>
      <c r="G75" s="629"/>
      <c r="H75" s="629"/>
      <c r="I75" s="629"/>
      <c r="J75" s="651"/>
      <c r="K75" s="646"/>
      <c r="L75" s="629"/>
      <c r="M75" s="629"/>
      <c r="N75" s="629"/>
      <c r="O75" s="629"/>
      <c r="P75" s="629"/>
    </row>
    <row r="76" spans="1:16" ht="8.25" customHeight="1" thickBot="1">
      <c r="A76" s="647"/>
      <c r="B76" s="629"/>
      <c r="C76" s="629"/>
      <c r="D76" s="629"/>
      <c r="E76" s="652"/>
      <c r="F76" s="629"/>
      <c r="G76" s="629"/>
      <c r="H76" s="629"/>
      <c r="I76" s="629"/>
      <c r="J76" s="629"/>
      <c r="K76" s="629"/>
      <c r="L76" s="629"/>
      <c r="M76" s="629"/>
      <c r="N76" s="629"/>
      <c r="O76" s="629"/>
      <c r="P76" s="629"/>
    </row>
    <row r="77" spans="1:16" ht="15.75">
      <c r="A77" s="647">
        <v>4</v>
      </c>
      <c r="B77" s="629"/>
      <c r="C77" s="797" t="s">
        <v>496</v>
      </c>
      <c r="D77" s="653" t="s">
        <v>496</v>
      </c>
      <c r="E77" s="654" t="s">
        <v>496</v>
      </c>
      <c r="F77" s="655" t="s">
        <v>496</v>
      </c>
      <c r="G77" s="656"/>
      <c r="H77" s="629"/>
      <c r="I77" s="629"/>
      <c r="J77" s="629"/>
      <c r="K77" s="629"/>
      <c r="L77" s="629"/>
      <c r="M77" s="629"/>
      <c r="N77" s="629"/>
      <c r="O77" s="629"/>
      <c r="P77" s="629"/>
    </row>
    <row r="78" spans="1:16" ht="15.75">
      <c r="A78" s="647"/>
      <c r="B78" s="629"/>
      <c r="C78" s="798"/>
      <c r="D78" s="657" t="s">
        <v>497</v>
      </c>
      <c r="E78" s="658" t="s">
        <v>498</v>
      </c>
      <c r="F78" s="659" t="s">
        <v>498</v>
      </c>
      <c r="G78" s="656"/>
      <c r="H78" s="629"/>
      <c r="I78" s="629"/>
      <c r="J78" s="629"/>
      <c r="K78" s="629"/>
      <c r="L78" s="629"/>
      <c r="M78" s="629"/>
      <c r="N78" s="629"/>
      <c r="O78" s="629"/>
      <c r="P78" s="629"/>
    </row>
    <row r="79" spans="1:16" ht="16.5" thickBot="1">
      <c r="A79" s="647"/>
      <c r="B79" s="629"/>
      <c r="C79" s="799"/>
      <c r="D79" s="660" t="s">
        <v>498</v>
      </c>
      <c r="E79" s="661" t="s">
        <v>499</v>
      </c>
      <c r="F79" s="659" t="s">
        <v>500</v>
      </c>
      <c r="G79" s="656"/>
      <c r="H79" s="629"/>
      <c r="I79" s="629"/>
      <c r="J79" s="629"/>
      <c r="K79" s="629"/>
      <c r="L79" s="629"/>
      <c r="M79" s="629"/>
      <c r="N79" s="629"/>
      <c r="O79" s="629"/>
      <c r="P79" s="629"/>
    </row>
    <row r="80" spans="1:16" ht="15.75">
      <c r="A80" s="647"/>
      <c r="B80" s="629"/>
      <c r="C80" s="662" t="s">
        <v>501</v>
      </c>
      <c r="D80" s="663">
        <f>'[1]Input Sheet'!B15</f>
        <v>1</v>
      </c>
      <c r="E80" s="663">
        <v>24</v>
      </c>
      <c r="F80" s="664">
        <v>8760</v>
      </c>
      <c r="G80" s="665"/>
      <c r="H80" s="629"/>
      <c r="I80" s="629"/>
      <c r="J80" s="629"/>
      <c r="K80" s="629"/>
      <c r="L80" s="629"/>
      <c r="M80" s="629"/>
      <c r="N80" s="629"/>
      <c r="O80" s="629"/>
      <c r="P80" s="629"/>
    </row>
    <row r="81" spans="1:17" ht="16.5" thickBot="1">
      <c r="A81" s="647"/>
      <c r="B81" s="629"/>
      <c r="C81" s="666" t="s">
        <v>502</v>
      </c>
      <c r="D81" s="667">
        <f>'[1]Input Sheet'!B16</f>
        <v>1</v>
      </c>
      <c r="E81" s="667">
        <v>24</v>
      </c>
      <c r="F81" s="668">
        <v>8760</v>
      </c>
      <c r="G81" s="665"/>
      <c r="H81" s="629"/>
      <c r="I81" s="629"/>
      <c r="J81" s="629"/>
      <c r="K81" s="629"/>
      <c r="L81" s="629"/>
      <c r="M81" s="629"/>
      <c r="N81" s="629"/>
      <c r="O81" s="629"/>
      <c r="P81" s="629"/>
    </row>
    <row r="82" spans="1:17" ht="15.75" hidden="1">
      <c r="A82" s="647"/>
      <c r="B82" s="645"/>
      <c r="C82" s="669" t="s">
        <v>503</v>
      </c>
      <c r="D82" s="670">
        <f>'[1]Input Sheet'!B21</f>
        <v>2</v>
      </c>
      <c r="E82" s="670">
        <f>'[1]Input Sheet'!C21</f>
        <v>2</v>
      </c>
      <c r="F82" s="671" t="e">
        <f>D82*E82*#REF!*#REF!</f>
        <v>#REF!</v>
      </c>
      <c r="G82" s="665"/>
      <c r="H82" s="629"/>
      <c r="I82" s="629"/>
      <c r="J82" s="629"/>
      <c r="K82" s="629"/>
      <c r="L82" s="629"/>
      <c r="M82" s="629"/>
      <c r="N82" s="629"/>
      <c r="O82" s="629"/>
      <c r="P82" s="629"/>
    </row>
    <row r="83" spans="1:17" ht="16.5" hidden="1" thickBot="1">
      <c r="A83" s="647"/>
      <c r="B83" s="672"/>
      <c r="C83" s="666" t="s">
        <v>504</v>
      </c>
      <c r="D83" s="667">
        <f>'[1]Input Sheet'!B22</f>
        <v>2</v>
      </c>
      <c r="E83" s="667">
        <f>'[1]Input Sheet'!C22</f>
        <v>7</v>
      </c>
      <c r="F83" s="673" t="e">
        <f>D83*E83*#REF!*#REF!</f>
        <v>#REF!</v>
      </c>
      <c r="G83" s="665"/>
      <c r="H83" s="629"/>
      <c r="I83" s="629"/>
      <c r="J83" s="674"/>
      <c r="K83" s="629"/>
      <c r="L83" s="629"/>
      <c r="M83" s="629"/>
      <c r="N83" s="629"/>
      <c r="O83" s="629"/>
      <c r="P83" s="629"/>
    </row>
    <row r="84" spans="1:17" ht="16.5" hidden="1" thickBot="1">
      <c r="A84" s="647"/>
      <c r="B84" s="674"/>
      <c r="C84" s="800" t="s">
        <v>505</v>
      </c>
      <c r="D84" s="801"/>
      <c r="E84" s="802"/>
      <c r="F84" s="676" t="e">
        <f>SUM(F80:F83)</f>
        <v>#REF!</v>
      </c>
      <c r="G84" s="677">
        <f>SUM(G80:G83)</f>
        <v>0</v>
      </c>
      <c r="H84" s="629"/>
      <c r="I84" s="629"/>
      <c r="J84" s="678"/>
      <c r="K84" s="678"/>
      <c r="L84" s="678"/>
      <c r="M84" s="629"/>
      <c r="N84" s="629"/>
      <c r="O84" s="629"/>
      <c r="P84" s="629"/>
    </row>
    <row r="85" spans="1:17" ht="6" customHeight="1">
      <c r="A85" s="647"/>
      <c r="B85" s="674"/>
      <c r="C85" s="679"/>
      <c r="D85" s="679"/>
      <c r="E85" s="679"/>
      <c r="F85" s="680"/>
      <c r="G85" s="681"/>
      <c r="H85" s="629"/>
      <c r="I85" s="629"/>
      <c r="J85" s="678"/>
      <c r="K85" s="678"/>
      <c r="L85" s="678"/>
      <c r="M85" s="629"/>
      <c r="N85" s="629"/>
      <c r="O85" s="629"/>
      <c r="P85" s="629"/>
    </row>
    <row r="86" spans="1:17" ht="6" customHeight="1">
      <c r="A86" s="647"/>
      <c r="B86" s="674"/>
      <c r="C86" s="679"/>
      <c r="D86" s="679"/>
      <c r="E86" s="679"/>
      <c r="F86" s="680"/>
      <c r="G86" s="681"/>
      <c r="H86" s="629"/>
      <c r="I86" s="629"/>
      <c r="J86" s="678"/>
      <c r="K86" s="678"/>
      <c r="L86" s="678"/>
      <c r="M86" s="629"/>
      <c r="N86" s="629"/>
      <c r="O86" s="629"/>
      <c r="P86" s="629"/>
    </row>
    <row r="87" spans="1:17" ht="30" customHeight="1">
      <c r="A87" s="803" t="s">
        <v>551</v>
      </c>
      <c r="B87" s="803"/>
      <c r="C87" s="803"/>
      <c r="D87" s="803"/>
      <c r="E87" s="803"/>
      <c r="F87" s="803"/>
      <c r="G87" s="803"/>
      <c r="H87" s="803"/>
      <c r="I87" s="803"/>
      <c r="J87" s="678"/>
      <c r="K87" s="678"/>
      <c r="L87" s="678"/>
      <c r="M87" s="629"/>
      <c r="N87" s="629"/>
      <c r="O87" s="629"/>
      <c r="P87" s="629"/>
    </row>
    <row r="88" spans="1:17" ht="15.75">
      <c r="A88" s="441" t="s">
        <v>506</v>
      </c>
      <c r="B88" s="672"/>
      <c r="C88" s="672"/>
      <c r="D88" s="672"/>
      <c r="E88" s="629"/>
      <c r="F88" s="629"/>
      <c r="G88" s="629"/>
      <c r="H88" s="629"/>
      <c r="I88" s="629"/>
      <c r="J88" s="678"/>
      <c r="K88" s="678"/>
      <c r="L88" s="678"/>
      <c r="M88" s="678"/>
      <c r="N88" s="682"/>
      <c r="O88" s="678"/>
      <c r="P88" s="678"/>
      <c r="Q88" s="443"/>
    </row>
    <row r="89" spans="1:17" ht="9" customHeight="1">
      <c r="A89" s="629"/>
      <c r="B89" s="629"/>
      <c r="C89" s="629"/>
      <c r="D89" s="672"/>
      <c r="E89" s="683"/>
      <c r="F89" s="629"/>
      <c r="G89" s="629"/>
      <c r="H89" s="629"/>
      <c r="I89" s="629"/>
      <c r="J89" s="678"/>
      <c r="K89" s="678"/>
      <c r="L89" s="678"/>
      <c r="M89" s="678"/>
      <c r="N89" s="682"/>
      <c r="O89" s="678"/>
      <c r="P89" s="678"/>
      <c r="Q89" s="443"/>
    </row>
    <row r="90" spans="1:17" ht="15" customHeight="1">
      <c r="A90" s="684" t="s">
        <v>507</v>
      </c>
      <c r="B90" s="441" t="s">
        <v>508</v>
      </c>
      <c r="C90" s="629"/>
      <c r="D90" s="629"/>
      <c r="E90" s="629"/>
      <c r="F90" s="629"/>
      <c r="G90" s="629"/>
      <c r="H90" s="629"/>
      <c r="I90" s="629"/>
      <c r="J90" s="678"/>
      <c r="K90" s="678"/>
      <c r="L90" s="678"/>
      <c r="M90" s="678"/>
      <c r="N90" s="682"/>
      <c r="O90" s="678"/>
      <c r="P90" s="678"/>
      <c r="Q90" s="443"/>
    </row>
    <row r="91" spans="1:17" ht="6" customHeight="1">
      <c r="A91" s="629"/>
      <c r="B91" s="629"/>
      <c r="C91" s="629"/>
      <c r="D91" s="629"/>
      <c r="E91" s="629"/>
      <c r="F91" s="629"/>
      <c r="G91" s="629"/>
      <c r="H91" s="629"/>
      <c r="I91" s="629"/>
      <c r="J91" s="629"/>
      <c r="K91" s="629"/>
      <c r="L91" s="629"/>
      <c r="M91" s="629"/>
      <c r="N91" s="674"/>
      <c r="O91" s="629"/>
      <c r="P91" s="629"/>
    </row>
    <row r="92" spans="1:17" ht="15.75">
      <c r="A92" s="629"/>
      <c r="B92" s="629" t="s">
        <v>509</v>
      </c>
      <c r="C92" s="629"/>
      <c r="D92" s="629"/>
      <c r="E92" s="629"/>
      <c r="F92" s="629"/>
      <c r="G92" s="629"/>
      <c r="H92" s="629"/>
      <c r="I92" s="629"/>
      <c r="J92" s="629"/>
      <c r="K92" s="629"/>
      <c r="L92" s="629"/>
      <c r="M92" s="629"/>
      <c r="N92" s="674"/>
      <c r="O92" s="629"/>
      <c r="P92" s="629"/>
    </row>
    <row r="93" spans="1:17" ht="8.1" customHeight="1">
      <c r="A93" s="629"/>
      <c r="B93" s="629"/>
      <c r="C93" s="672"/>
      <c r="D93" s="672"/>
      <c r="E93" s="685"/>
      <c r="F93" s="629"/>
      <c r="G93" s="629"/>
      <c r="H93" s="629"/>
      <c r="I93" s="629"/>
      <c r="J93" s="629"/>
      <c r="K93" s="629"/>
      <c r="L93" s="629"/>
      <c r="M93" s="629"/>
      <c r="N93" s="674"/>
      <c r="O93" s="629"/>
      <c r="P93" s="629"/>
    </row>
    <row r="94" spans="1:17" ht="20.25">
      <c r="A94" s="629"/>
      <c r="B94" s="629"/>
      <c r="C94" s="686" t="s">
        <v>641</v>
      </c>
      <c r="D94" s="687" t="s">
        <v>642</v>
      </c>
      <c r="E94" s="629"/>
      <c r="F94" s="629"/>
      <c r="G94" s="629"/>
      <c r="H94" s="629"/>
      <c r="I94" s="629"/>
      <c r="J94" s="629"/>
      <c r="K94" s="629"/>
      <c r="L94" s="629"/>
      <c r="M94" s="629"/>
      <c r="N94" s="674"/>
      <c r="O94" s="629"/>
      <c r="P94" s="629"/>
    </row>
    <row r="95" spans="1:17" ht="5.25" customHeight="1">
      <c r="A95" s="629"/>
      <c r="B95" s="629"/>
      <c r="C95" s="686"/>
      <c r="D95" s="686"/>
      <c r="E95" s="687"/>
      <c r="F95" s="629"/>
      <c r="G95" s="629"/>
      <c r="H95" s="629"/>
      <c r="I95" s="629"/>
      <c r="J95" s="629"/>
      <c r="K95" s="629"/>
      <c r="L95" s="629"/>
      <c r="M95" s="629"/>
      <c r="N95" s="674"/>
      <c r="O95" s="629"/>
      <c r="P95" s="629"/>
    </row>
    <row r="96" spans="1:17" ht="16.5" customHeight="1">
      <c r="A96" s="629"/>
      <c r="B96" s="629"/>
      <c r="C96" s="686" t="s">
        <v>643</v>
      </c>
      <c r="D96" s="687" t="s">
        <v>644</v>
      </c>
      <c r="E96" s="687"/>
      <c r="F96" s="629"/>
      <c r="G96" s="629"/>
      <c r="H96" s="629"/>
      <c r="I96" s="629"/>
      <c r="J96" s="629"/>
      <c r="K96" s="629"/>
      <c r="L96" s="629"/>
      <c r="M96" s="629"/>
      <c r="N96" s="674"/>
      <c r="O96" s="629"/>
      <c r="P96" s="629"/>
    </row>
    <row r="97" spans="1:16" ht="6" customHeight="1">
      <c r="A97" s="629"/>
      <c r="B97" s="686"/>
      <c r="C97" s="686"/>
      <c r="D97" s="687"/>
      <c r="E97" s="629"/>
      <c r="F97" s="629"/>
      <c r="G97" s="629"/>
      <c r="H97" s="629"/>
      <c r="I97" s="629"/>
      <c r="J97" s="629"/>
      <c r="K97" s="629"/>
      <c r="L97" s="629"/>
      <c r="M97" s="629"/>
      <c r="N97" s="674"/>
      <c r="O97" s="629"/>
      <c r="P97" s="629"/>
    </row>
    <row r="98" spans="1:16" ht="18.75">
      <c r="A98" s="629"/>
      <c r="B98" s="686" t="s">
        <v>510</v>
      </c>
      <c r="C98" s="688" t="s">
        <v>645</v>
      </c>
      <c r="D98" s="687" t="s">
        <v>646</v>
      </c>
      <c r="E98" s="629"/>
      <c r="F98" s="629"/>
      <c r="G98" s="629"/>
      <c r="H98" s="629"/>
      <c r="I98" s="629"/>
      <c r="J98" s="629"/>
      <c r="K98" s="629"/>
      <c r="L98" s="629"/>
      <c r="M98" s="629"/>
      <c r="N98" s="674"/>
      <c r="O98" s="629"/>
      <c r="P98" s="629"/>
    </row>
    <row r="99" spans="1:16" ht="15.75">
      <c r="A99" s="629"/>
      <c r="B99" s="672"/>
      <c r="C99" s="688" t="s">
        <v>511</v>
      </c>
      <c r="D99" s="645" t="s">
        <v>512</v>
      </c>
      <c r="E99" s="629"/>
      <c r="F99" s="629"/>
      <c r="G99" s="629"/>
      <c r="H99" s="629"/>
      <c r="I99" s="629"/>
      <c r="J99" s="629"/>
      <c r="K99" s="629"/>
      <c r="L99" s="629"/>
      <c r="M99" s="629"/>
      <c r="N99" s="674"/>
      <c r="O99" s="629"/>
      <c r="P99" s="629"/>
    </row>
    <row r="100" spans="1:16" ht="15.75">
      <c r="A100" s="629"/>
      <c r="B100" s="629"/>
      <c r="C100" s="688" t="s">
        <v>513</v>
      </c>
      <c r="D100" s="645" t="s">
        <v>514</v>
      </c>
      <c r="E100" s="629"/>
      <c r="F100" s="629"/>
      <c r="G100" s="629"/>
      <c r="H100" s="629"/>
      <c r="I100" s="629"/>
      <c r="J100" s="629"/>
      <c r="K100" s="629"/>
      <c r="L100" s="629"/>
      <c r="M100" s="629"/>
      <c r="N100" s="674"/>
      <c r="O100" s="629"/>
      <c r="P100" s="629"/>
    </row>
    <row r="101" spans="1:16" ht="6" customHeight="1">
      <c r="A101" s="629"/>
      <c r="B101" s="629"/>
      <c r="C101" s="629"/>
      <c r="D101" s="672"/>
      <c r="E101" s="685"/>
      <c r="F101" s="629"/>
      <c r="G101" s="629"/>
      <c r="H101" s="629"/>
      <c r="I101" s="629"/>
      <c r="J101" s="629"/>
      <c r="K101" s="629"/>
      <c r="L101" s="629"/>
      <c r="M101" s="629"/>
      <c r="N101" s="674"/>
      <c r="O101" s="629"/>
      <c r="P101" s="629"/>
    </row>
    <row r="102" spans="1:16" ht="12.75" customHeight="1">
      <c r="A102" s="629"/>
      <c r="B102" s="629"/>
      <c r="C102" s="688" t="s">
        <v>515</v>
      </c>
      <c r="D102" s="689">
        <v>6.9</v>
      </c>
      <c r="E102" s="645" t="s">
        <v>516</v>
      </c>
      <c r="F102" s="629"/>
      <c r="G102" s="629"/>
      <c r="H102" s="629"/>
      <c r="I102" s="629"/>
      <c r="J102" s="629"/>
      <c r="K102" s="629"/>
      <c r="L102" s="629"/>
      <c r="M102" s="629"/>
      <c r="N102" s="674"/>
      <c r="O102" s="629"/>
      <c r="P102" s="629"/>
    </row>
    <row r="103" spans="1:16" ht="15.75">
      <c r="A103" s="629"/>
      <c r="B103" s="629"/>
      <c r="C103" s="688" t="s">
        <v>517</v>
      </c>
      <c r="D103" s="690">
        <v>12</v>
      </c>
      <c r="E103" s="645" t="s">
        <v>518</v>
      </c>
      <c r="F103" s="629"/>
      <c r="G103" s="629"/>
      <c r="H103" s="629"/>
      <c r="I103" s="629"/>
      <c r="J103" s="629"/>
      <c r="K103" s="629"/>
      <c r="L103" s="629"/>
      <c r="M103" s="629"/>
      <c r="N103" s="674"/>
      <c r="O103" s="629"/>
      <c r="P103" s="629"/>
    </row>
    <row r="104" spans="1:16" ht="9" customHeight="1">
      <c r="A104" s="629"/>
      <c r="B104" s="629"/>
      <c r="C104" s="629"/>
      <c r="D104" s="629"/>
      <c r="E104" s="629"/>
      <c r="F104" s="645"/>
      <c r="G104" s="629"/>
      <c r="H104" s="629"/>
      <c r="I104" s="629"/>
      <c r="J104" s="629"/>
      <c r="K104" s="629"/>
      <c r="L104" s="629"/>
      <c r="M104" s="629"/>
      <c r="N104" s="674"/>
      <c r="O104" s="629"/>
      <c r="P104" s="629"/>
    </row>
    <row r="105" spans="1:16" ht="18.75">
      <c r="A105" s="629"/>
      <c r="B105" s="629"/>
      <c r="C105" s="691" t="s">
        <v>647</v>
      </c>
      <c r="D105" s="692">
        <f>5.7*(D102^1.2)/(D103^1.3)</f>
        <v>2.2885380876585897</v>
      </c>
      <c r="E105" s="693" t="s">
        <v>1</v>
      </c>
      <c r="F105" s="694"/>
      <c r="G105" s="629"/>
      <c r="H105" s="629"/>
      <c r="I105" s="629"/>
      <c r="J105" s="629"/>
      <c r="K105" s="629"/>
      <c r="L105" s="629"/>
      <c r="M105" s="629"/>
      <c r="N105" s="674"/>
      <c r="O105" s="629"/>
      <c r="P105" s="629"/>
    </row>
    <row r="106" spans="1:16" ht="9" customHeight="1">
      <c r="A106" s="629"/>
      <c r="B106" s="645"/>
      <c r="C106" s="672"/>
      <c r="D106" s="695"/>
      <c r="E106" s="696"/>
      <c r="F106" s="629"/>
      <c r="G106" s="629"/>
      <c r="H106" s="629"/>
      <c r="I106" s="629"/>
      <c r="J106" s="629"/>
      <c r="K106" s="629"/>
      <c r="L106" s="629"/>
      <c r="M106" s="629"/>
      <c r="N106" s="674"/>
      <c r="O106" s="629"/>
      <c r="P106" s="629"/>
    </row>
    <row r="107" spans="1:16" ht="15" customHeight="1">
      <c r="A107" s="629"/>
      <c r="B107" s="645"/>
      <c r="C107" s="691" t="s">
        <v>648</v>
      </c>
      <c r="D107" s="692">
        <f>1*(D102^1.5)/(D103^1.4)*(0.75)</f>
        <v>0.41925780379451782</v>
      </c>
      <c r="E107" s="693" t="s">
        <v>1</v>
      </c>
      <c r="F107" s="629"/>
      <c r="G107" s="629"/>
      <c r="H107" s="629"/>
      <c r="I107" s="629"/>
      <c r="J107" s="629"/>
      <c r="K107" s="629"/>
      <c r="L107" s="629"/>
      <c r="M107" s="629"/>
      <c r="N107" s="674"/>
      <c r="O107" s="629"/>
      <c r="P107" s="629"/>
    </row>
    <row r="108" spans="1:16" ht="15.75">
      <c r="A108" s="629"/>
      <c r="B108" s="629"/>
      <c r="C108" s="645"/>
      <c r="D108" s="672"/>
      <c r="E108" s="696"/>
      <c r="F108" s="696"/>
      <c r="G108" s="629"/>
      <c r="H108" s="629"/>
      <c r="I108" s="629"/>
      <c r="J108" s="629"/>
      <c r="K108" s="629"/>
      <c r="L108" s="629"/>
      <c r="M108" s="629"/>
      <c r="N108" s="674"/>
      <c r="O108" s="629"/>
      <c r="P108" s="629"/>
    </row>
    <row r="109" spans="1:16" ht="15.75">
      <c r="A109" s="629"/>
      <c r="B109" s="629" t="s">
        <v>519</v>
      </c>
      <c r="C109" s="645"/>
      <c r="D109" s="672"/>
      <c r="E109" s="696"/>
      <c r="F109" s="696"/>
      <c r="G109" s="629"/>
      <c r="H109" s="629"/>
      <c r="I109" s="629"/>
      <c r="J109" s="629"/>
      <c r="K109" s="629"/>
      <c r="L109" s="629"/>
      <c r="M109" s="629"/>
      <c r="N109" s="674"/>
      <c r="O109" s="629"/>
      <c r="P109" s="629"/>
    </row>
    <row r="110" spans="1:16" ht="8.1" customHeight="1">
      <c r="A110" s="629"/>
      <c r="B110" s="629"/>
      <c r="C110" s="645"/>
      <c r="D110" s="672"/>
      <c r="E110" s="696"/>
      <c r="F110" s="696"/>
      <c r="G110" s="629"/>
      <c r="H110" s="629"/>
      <c r="I110" s="629"/>
      <c r="J110" s="629"/>
      <c r="K110" s="629"/>
      <c r="L110" s="629"/>
      <c r="M110" s="629"/>
      <c r="N110" s="674"/>
      <c r="O110" s="629"/>
      <c r="P110" s="629"/>
    </row>
    <row r="111" spans="1:16" ht="18.75">
      <c r="A111" s="629"/>
      <c r="B111" s="629"/>
      <c r="C111" s="697" t="s">
        <v>649</v>
      </c>
      <c r="D111" s="629" t="s">
        <v>650</v>
      </c>
      <c r="E111" s="672"/>
      <c r="F111" s="696"/>
      <c r="G111" s="696"/>
      <c r="H111" s="629"/>
      <c r="I111" s="629"/>
      <c r="J111" s="629"/>
      <c r="K111" s="629"/>
      <c r="L111" s="629"/>
      <c r="M111" s="629"/>
      <c r="N111" s="674"/>
      <c r="O111" s="629"/>
      <c r="P111" s="629"/>
    </row>
    <row r="112" spans="1:16" ht="6.6" customHeight="1">
      <c r="A112" s="629"/>
      <c r="B112" s="629"/>
      <c r="C112" s="629"/>
      <c r="D112" s="645"/>
      <c r="E112" s="672"/>
      <c r="F112" s="696"/>
      <c r="G112" s="696"/>
      <c r="H112" s="629"/>
      <c r="I112" s="629"/>
      <c r="J112" s="629"/>
      <c r="K112" s="629"/>
      <c r="L112" s="629"/>
      <c r="M112" s="629"/>
      <c r="N112" s="674"/>
      <c r="O112" s="629"/>
      <c r="P112" s="629"/>
    </row>
    <row r="113" spans="1:16" ht="18.75">
      <c r="A113" s="629"/>
      <c r="B113" s="686" t="s">
        <v>510</v>
      </c>
      <c r="C113" s="686" t="s">
        <v>651</v>
      </c>
      <c r="D113" s="696">
        <f>D105</f>
        <v>2.2885380876585897</v>
      </c>
      <c r="E113" s="698" t="s">
        <v>583</v>
      </c>
      <c r="F113" s="696"/>
      <c r="G113" s="629"/>
      <c r="H113" s="629"/>
      <c r="I113" s="629"/>
      <c r="J113" s="629"/>
      <c r="K113" s="629"/>
      <c r="L113" s="629"/>
      <c r="M113" s="629"/>
      <c r="N113" s="674"/>
      <c r="O113" s="629"/>
      <c r="P113" s="629"/>
    </row>
    <row r="114" spans="1:16" ht="18.75">
      <c r="A114" s="629"/>
      <c r="B114" s="686"/>
      <c r="C114" s="686" t="s">
        <v>652</v>
      </c>
      <c r="D114" s="696">
        <f>D107</f>
        <v>0.41925780379451782</v>
      </c>
      <c r="E114" s="698" t="s">
        <v>653</v>
      </c>
      <c r="F114" s="696"/>
      <c r="G114" s="629"/>
      <c r="H114" s="629"/>
      <c r="I114" s="629"/>
      <c r="J114" s="629"/>
      <c r="K114" s="629"/>
      <c r="L114" s="629"/>
      <c r="M114" s="629"/>
      <c r="N114" s="674"/>
      <c r="O114" s="629"/>
      <c r="P114" s="629"/>
    </row>
    <row r="115" spans="1:16" ht="9" customHeight="1">
      <c r="A115" s="629"/>
      <c r="B115" s="686"/>
      <c r="C115" s="686"/>
      <c r="D115" s="696"/>
      <c r="E115" s="698"/>
      <c r="F115" s="696"/>
      <c r="G115" s="629"/>
      <c r="H115" s="629"/>
      <c r="I115" s="629"/>
      <c r="J115" s="629"/>
      <c r="K115" s="629"/>
      <c r="L115" s="629"/>
      <c r="M115" s="629"/>
      <c r="N115" s="674"/>
      <c r="O115" s="629"/>
      <c r="P115" s="629"/>
    </row>
    <row r="116" spans="1:16" ht="18.75">
      <c r="A116" s="629"/>
      <c r="B116" s="629"/>
      <c r="C116" s="686" t="s">
        <v>654</v>
      </c>
      <c r="D116" s="699">
        <f>F80+F81</f>
        <v>17520</v>
      </c>
      <c r="E116" s="698" t="s">
        <v>520</v>
      </c>
      <c r="F116" s="696"/>
      <c r="G116" s="629"/>
      <c r="H116" s="629"/>
      <c r="I116" s="629"/>
      <c r="J116" s="629"/>
      <c r="K116" s="629"/>
      <c r="L116" s="629"/>
      <c r="M116" s="629"/>
      <c r="N116" s="674"/>
      <c r="O116" s="629"/>
      <c r="P116" s="629"/>
    </row>
    <row r="117" spans="1:16" ht="9" customHeight="1">
      <c r="A117" s="629"/>
      <c r="B117" s="629"/>
      <c r="C117" s="686"/>
      <c r="D117" s="672"/>
      <c r="E117" s="696"/>
      <c r="F117" s="696"/>
      <c r="G117" s="629"/>
      <c r="H117" s="629"/>
      <c r="I117" s="629"/>
      <c r="J117" s="629"/>
      <c r="K117" s="629"/>
      <c r="L117" s="629"/>
      <c r="M117" s="629"/>
      <c r="N117" s="674"/>
      <c r="O117" s="629"/>
      <c r="P117" s="629"/>
    </row>
    <row r="118" spans="1:16" ht="17.25">
      <c r="A118" s="629"/>
      <c r="B118" s="629"/>
      <c r="C118" s="700" t="s">
        <v>655</v>
      </c>
      <c r="D118" s="701">
        <f>D113*D116/2000</f>
        <v>20.047593647889247</v>
      </c>
      <c r="E118" s="702" t="s">
        <v>521</v>
      </c>
      <c r="F118" s="703"/>
      <c r="G118" s="704"/>
      <c r="H118" s="629"/>
      <c r="I118" s="629"/>
      <c r="J118" s="629"/>
      <c r="K118" s="629"/>
      <c r="L118" s="629"/>
      <c r="M118" s="629"/>
      <c r="N118" s="674"/>
      <c r="O118" s="629"/>
      <c r="P118" s="629"/>
    </row>
    <row r="119" spans="1:16" ht="9" customHeight="1">
      <c r="A119" s="629"/>
      <c r="B119" s="629"/>
      <c r="C119" s="705"/>
      <c r="D119" s="701"/>
      <c r="E119" s="706"/>
      <c r="F119" s="703"/>
      <c r="G119" s="707"/>
      <c r="H119" s="629"/>
      <c r="I119" s="629"/>
      <c r="J119" s="629"/>
      <c r="K119" s="629"/>
      <c r="L119" s="629"/>
      <c r="M119" s="629"/>
      <c r="N119" s="674"/>
      <c r="O119" s="629"/>
      <c r="P119" s="629"/>
    </row>
    <row r="120" spans="1:16" ht="15" customHeight="1">
      <c r="A120" s="629"/>
      <c r="B120" s="629"/>
      <c r="C120" s="708" t="s">
        <v>656</v>
      </c>
      <c r="D120" s="709">
        <f>D114*D116/2000</f>
        <v>3.6726983612399762</v>
      </c>
      <c r="E120" s="710" t="s">
        <v>521</v>
      </c>
      <c r="F120" s="711"/>
      <c r="G120" s="693"/>
      <c r="H120" s="629"/>
      <c r="I120" s="629"/>
      <c r="J120" s="629"/>
      <c r="K120" s="629"/>
      <c r="L120" s="629"/>
      <c r="M120" s="629"/>
      <c r="N120" s="674"/>
      <c r="O120" s="629"/>
      <c r="P120" s="629"/>
    </row>
    <row r="121" spans="1:16" ht="15" customHeight="1">
      <c r="A121" s="629"/>
      <c r="B121" s="629"/>
      <c r="C121" s="629"/>
      <c r="D121" s="679"/>
      <c r="E121" s="712"/>
      <c r="F121" s="639"/>
      <c r="G121" s="696"/>
      <c r="H121" s="629"/>
      <c r="I121" s="629"/>
      <c r="J121" s="629"/>
      <c r="K121" s="629"/>
      <c r="L121" s="629"/>
      <c r="M121" s="629"/>
      <c r="N121" s="674"/>
      <c r="O121" s="629"/>
      <c r="P121" s="629"/>
    </row>
    <row r="122" spans="1:16" ht="15.75">
      <c r="A122" s="713">
        <v>2</v>
      </c>
      <c r="B122" s="441" t="s">
        <v>522</v>
      </c>
      <c r="C122" s="629"/>
      <c r="D122" s="629"/>
      <c r="E122" s="696"/>
      <c r="F122" s="696"/>
      <c r="G122" s="629"/>
      <c r="H122" s="629"/>
      <c r="I122" s="629"/>
      <c r="J122" s="629"/>
      <c r="K122" s="629"/>
      <c r="L122" s="629"/>
      <c r="M122" s="629"/>
      <c r="N122" s="674"/>
      <c r="O122" s="629"/>
      <c r="P122" s="629"/>
    </row>
    <row r="123" spans="1:16" ht="6.6" customHeight="1">
      <c r="A123" s="629"/>
      <c r="B123" s="629"/>
      <c r="C123" s="645"/>
      <c r="D123" s="672"/>
      <c r="E123" s="696"/>
      <c r="F123" s="696"/>
      <c r="G123" s="629"/>
      <c r="H123" s="629"/>
      <c r="I123" s="629"/>
      <c r="J123" s="629"/>
      <c r="K123" s="629"/>
      <c r="L123" s="629"/>
      <c r="M123" s="629"/>
      <c r="N123" s="674"/>
      <c r="O123" s="629"/>
      <c r="P123" s="629"/>
    </row>
    <row r="124" spans="1:16" ht="18.75">
      <c r="A124" s="629"/>
      <c r="B124" s="629" t="s">
        <v>657</v>
      </c>
      <c r="C124" s="629"/>
      <c r="D124" s="629"/>
      <c r="E124" s="629"/>
      <c r="F124" s="629"/>
      <c r="G124" s="629"/>
      <c r="H124" s="629"/>
      <c r="I124" s="629"/>
      <c r="J124" s="629"/>
      <c r="K124" s="629"/>
      <c r="L124" s="629"/>
      <c r="M124" s="629"/>
      <c r="N124" s="674"/>
      <c r="O124" s="629"/>
      <c r="P124" s="629"/>
    </row>
    <row r="125" spans="1:16" ht="7.9" customHeight="1">
      <c r="A125" s="629"/>
      <c r="B125" s="629"/>
      <c r="C125" s="629"/>
      <c r="D125" s="629"/>
      <c r="E125" s="629"/>
      <c r="F125" s="629"/>
      <c r="G125" s="629"/>
      <c r="H125" s="629"/>
      <c r="I125" s="629"/>
      <c r="J125" s="629"/>
      <c r="K125" s="629"/>
      <c r="L125" s="629"/>
      <c r="M125" s="629"/>
      <c r="N125" s="674"/>
      <c r="O125" s="629"/>
      <c r="P125" s="629"/>
    </row>
    <row r="126" spans="1:16" ht="18.75">
      <c r="A126" s="629"/>
      <c r="B126" s="629"/>
      <c r="C126" s="686" t="s">
        <v>523</v>
      </c>
      <c r="D126" s="645" t="s">
        <v>658</v>
      </c>
      <c r="E126" s="629"/>
      <c r="F126" s="629"/>
      <c r="G126" s="629"/>
      <c r="H126" s="629"/>
      <c r="I126" s="629"/>
      <c r="J126" s="629"/>
      <c r="K126" s="629"/>
      <c r="L126" s="629"/>
      <c r="M126" s="629"/>
      <c r="N126" s="674"/>
      <c r="O126" s="629"/>
      <c r="P126" s="629"/>
    </row>
    <row r="127" spans="1:16" ht="9" customHeight="1">
      <c r="A127" s="629"/>
      <c r="B127" s="686"/>
      <c r="C127" s="686"/>
      <c r="D127" s="696"/>
      <c r="E127" s="629"/>
      <c r="F127" s="696"/>
      <c r="G127" s="629"/>
      <c r="H127" s="629"/>
      <c r="I127" s="629"/>
      <c r="J127" s="629"/>
      <c r="K127" s="629"/>
      <c r="L127" s="629"/>
      <c r="M127" s="629"/>
      <c r="N127" s="674"/>
      <c r="O127" s="629"/>
      <c r="P127" s="629"/>
    </row>
    <row r="128" spans="1:16" ht="18.75">
      <c r="A128" s="629"/>
      <c r="B128" s="686" t="s">
        <v>510</v>
      </c>
      <c r="C128" s="686" t="s">
        <v>659</v>
      </c>
      <c r="D128" s="687" t="s">
        <v>524</v>
      </c>
      <c r="E128" s="698"/>
      <c r="F128" s="696"/>
      <c r="G128" s="629"/>
      <c r="H128" s="629"/>
      <c r="I128" s="629"/>
      <c r="J128" s="629"/>
      <c r="K128" s="629"/>
      <c r="L128" s="629"/>
      <c r="M128" s="629"/>
      <c r="N128" s="674"/>
      <c r="O128" s="629"/>
      <c r="P128" s="629"/>
    </row>
    <row r="129" spans="1:16" ht="18.75">
      <c r="A129" s="629"/>
      <c r="B129" s="686"/>
      <c r="C129" s="686" t="s">
        <v>660</v>
      </c>
      <c r="D129" s="645" t="s">
        <v>661</v>
      </c>
      <c r="E129" s="698"/>
      <c r="F129" s="696"/>
      <c r="G129" s="629"/>
      <c r="H129" s="629"/>
      <c r="I129" s="629"/>
      <c r="J129" s="629"/>
      <c r="K129" s="629"/>
      <c r="L129" s="629"/>
      <c r="M129" s="629"/>
      <c r="N129" s="629"/>
      <c r="O129" s="629"/>
      <c r="P129" s="629"/>
    </row>
    <row r="130" spans="1:16" ht="15.75">
      <c r="A130" s="629"/>
      <c r="B130" s="714"/>
      <c r="C130" s="714"/>
      <c r="D130" s="672"/>
      <c r="E130" s="696"/>
      <c r="F130" s="715"/>
      <c r="G130" s="629"/>
      <c r="H130" s="629"/>
      <c r="I130" s="629"/>
      <c r="J130" s="629"/>
      <c r="K130" s="629"/>
      <c r="L130" s="629"/>
      <c r="M130" s="629"/>
      <c r="N130" s="674"/>
      <c r="O130" s="629"/>
      <c r="P130" s="629"/>
    </row>
    <row r="131" spans="1:16" ht="18.75">
      <c r="A131" s="629"/>
      <c r="B131" s="686"/>
      <c r="C131" s="686" t="s">
        <v>662</v>
      </c>
      <c r="D131" s="716">
        <v>5.8000000000000003E-2</v>
      </c>
      <c r="E131" s="629" t="s">
        <v>439</v>
      </c>
      <c r="F131" s="629" t="s">
        <v>525</v>
      </c>
      <c r="G131" s="629"/>
      <c r="H131" s="629"/>
      <c r="I131" s="629"/>
      <c r="J131" s="629"/>
      <c r="K131" s="629"/>
      <c r="L131" s="629"/>
      <c r="M131" s="629"/>
      <c r="N131" s="674"/>
      <c r="O131" s="629"/>
      <c r="P131" s="629"/>
    </row>
    <row r="132" spans="1:16" ht="18.75">
      <c r="A132" s="629"/>
      <c r="B132" s="629"/>
      <c r="C132" s="686" t="s">
        <v>663</v>
      </c>
      <c r="D132" s="683">
        <f>E73</f>
        <v>300000</v>
      </c>
      <c r="E132" s="629" t="s">
        <v>271</v>
      </c>
      <c r="F132" s="629"/>
      <c r="G132" s="629"/>
      <c r="H132" s="629"/>
      <c r="I132" s="629"/>
      <c r="J132" s="714"/>
      <c r="K132" s="629"/>
      <c r="L132" s="629"/>
      <c r="M132" s="629"/>
      <c r="N132" s="674"/>
      <c r="O132" s="629"/>
      <c r="P132" s="629"/>
    </row>
    <row r="133" spans="1:16" ht="18.75">
      <c r="A133" s="629"/>
      <c r="B133" s="686"/>
      <c r="C133" s="686" t="s">
        <v>664</v>
      </c>
      <c r="D133" s="716">
        <v>0.52300000000000002</v>
      </c>
      <c r="E133" s="629"/>
      <c r="F133" s="629"/>
      <c r="G133" s="629"/>
      <c r="H133" s="629"/>
      <c r="I133" s="686"/>
      <c r="J133" s="629"/>
      <c r="K133" s="629"/>
      <c r="L133" s="629"/>
      <c r="M133" s="629"/>
      <c r="N133" s="674"/>
      <c r="O133" s="629"/>
      <c r="P133" s="629"/>
    </row>
    <row r="134" spans="1:16" ht="9" customHeight="1">
      <c r="A134" s="629"/>
      <c r="B134" s="686"/>
      <c r="C134" s="686"/>
      <c r="D134" s="717"/>
      <c r="E134" s="629"/>
      <c r="F134" s="629"/>
      <c r="G134" s="629"/>
      <c r="H134" s="629"/>
      <c r="I134" s="629"/>
      <c r="J134" s="629"/>
      <c r="K134" s="629"/>
      <c r="L134" s="629"/>
      <c r="M134" s="629"/>
      <c r="N134" s="674"/>
      <c r="O134" s="629"/>
      <c r="P134" s="629"/>
    </row>
    <row r="135" spans="1:16" ht="17.25">
      <c r="A135" s="629"/>
      <c r="B135" s="629"/>
      <c r="C135" s="718" t="s">
        <v>665</v>
      </c>
      <c r="D135" s="709">
        <f>D131*D132/2000</f>
        <v>8.6999999999999993</v>
      </c>
      <c r="E135" s="710" t="s">
        <v>526</v>
      </c>
      <c r="F135" s="719"/>
      <c r="G135" s="629"/>
      <c r="H135" s="629"/>
      <c r="I135" s="629"/>
      <c r="J135" s="714"/>
      <c r="K135" s="629"/>
      <c r="L135" s="629"/>
      <c r="M135" s="629"/>
      <c r="N135" s="674"/>
      <c r="O135" s="629"/>
      <c r="P135" s="629"/>
    </row>
    <row r="136" spans="1:16" ht="9" customHeight="1">
      <c r="A136" s="629"/>
      <c r="B136" s="629"/>
      <c r="C136" s="672"/>
      <c r="D136" s="652"/>
      <c r="E136" s="696"/>
      <c r="F136" s="629"/>
      <c r="G136" s="629"/>
      <c r="H136" s="629"/>
      <c r="I136" s="629"/>
      <c r="J136" s="714"/>
      <c r="K136" s="629"/>
      <c r="L136" s="629"/>
      <c r="M136" s="629"/>
      <c r="N136" s="674"/>
      <c r="O136" s="629"/>
      <c r="P136" s="629"/>
    </row>
    <row r="137" spans="1:16" ht="17.25">
      <c r="A137" s="629"/>
      <c r="B137" s="629"/>
      <c r="C137" s="718" t="s">
        <v>666</v>
      </c>
      <c r="D137" s="709">
        <f>D131*D132/2000*D133</f>
        <v>4.5500999999999996</v>
      </c>
      <c r="E137" s="710" t="s">
        <v>526</v>
      </c>
      <c r="F137" s="719"/>
      <c r="G137" s="629"/>
      <c r="H137" s="629"/>
      <c r="I137" s="629"/>
      <c r="J137" s="714"/>
      <c r="K137" s="629"/>
      <c r="L137" s="629"/>
      <c r="M137" s="629"/>
      <c r="N137" s="674"/>
      <c r="O137" s="629"/>
      <c r="P137" s="629"/>
    </row>
    <row r="138" spans="1:16" ht="15.75">
      <c r="A138" s="629"/>
      <c r="B138" s="629"/>
      <c r="C138" s="679"/>
      <c r="D138" s="720"/>
      <c r="E138" s="638"/>
      <c r="F138" s="696"/>
      <c r="G138" s="629"/>
      <c r="H138" s="629"/>
      <c r="I138" s="629"/>
      <c r="J138" s="714"/>
      <c r="K138" s="629"/>
      <c r="L138" s="629"/>
      <c r="M138" s="629"/>
      <c r="N138" s="674"/>
      <c r="O138" s="629"/>
      <c r="P138" s="629"/>
    </row>
    <row r="139" spans="1:16" ht="15.75">
      <c r="A139" s="713">
        <v>3</v>
      </c>
      <c r="B139" s="441" t="s">
        <v>527</v>
      </c>
      <c r="C139" s="629"/>
      <c r="D139" s="629"/>
      <c r="E139" s="629"/>
      <c r="F139" s="629"/>
      <c r="G139" s="629"/>
      <c r="H139" s="629"/>
      <c r="I139" s="629"/>
      <c r="J139" s="714"/>
      <c r="K139" s="629"/>
      <c r="L139" s="629"/>
      <c r="M139" s="629"/>
      <c r="N139" s="674"/>
      <c r="O139" s="629"/>
      <c r="P139" s="629"/>
    </row>
    <row r="140" spans="1:16" ht="9" customHeight="1">
      <c r="A140" s="629"/>
      <c r="B140" s="629"/>
      <c r="C140" s="629"/>
      <c r="D140" s="629"/>
      <c r="E140" s="629"/>
      <c r="F140" s="629"/>
      <c r="G140" s="629"/>
      <c r="H140" s="629"/>
      <c r="I140" s="629"/>
      <c r="J140" s="714"/>
      <c r="K140" s="629"/>
      <c r="L140" s="629"/>
      <c r="M140" s="629"/>
      <c r="N140" s="674"/>
      <c r="O140" s="629"/>
      <c r="P140" s="629"/>
    </row>
    <row r="141" spans="1:16" ht="15.75">
      <c r="A141" s="629"/>
      <c r="B141" s="629" t="s">
        <v>528</v>
      </c>
      <c r="C141" s="629"/>
      <c r="D141" s="629"/>
      <c r="E141" s="629"/>
      <c r="F141" s="629"/>
      <c r="G141" s="629"/>
      <c r="H141" s="629"/>
      <c r="I141" s="629"/>
      <c r="J141" s="714"/>
      <c r="K141" s="629"/>
      <c r="L141" s="629"/>
      <c r="M141" s="629"/>
      <c r="N141" s="674"/>
      <c r="O141" s="629"/>
      <c r="P141" s="629"/>
    </row>
    <row r="142" spans="1:16" ht="9" customHeight="1">
      <c r="A142" s="629"/>
      <c r="B142" s="672"/>
      <c r="C142" s="672"/>
      <c r="D142" s="685"/>
      <c r="E142" s="629"/>
      <c r="F142" s="629"/>
      <c r="G142" s="629"/>
      <c r="H142" s="629"/>
      <c r="I142" s="629"/>
      <c r="J142" s="714"/>
      <c r="K142" s="629"/>
      <c r="L142" s="629"/>
      <c r="M142" s="629"/>
      <c r="N142" s="674"/>
      <c r="O142" s="629"/>
      <c r="P142" s="629"/>
    </row>
    <row r="143" spans="1:16" ht="20.25">
      <c r="A143" s="629"/>
      <c r="B143" s="629"/>
      <c r="C143" s="686" t="s">
        <v>667</v>
      </c>
      <c r="D143" s="687" t="s">
        <v>668</v>
      </c>
      <c r="E143" s="685"/>
      <c r="F143" s="629"/>
      <c r="G143" s="629"/>
      <c r="H143" s="629"/>
      <c r="I143" s="629"/>
      <c r="J143" s="714"/>
      <c r="K143" s="629"/>
      <c r="L143" s="629"/>
      <c r="M143" s="629"/>
      <c r="N143" s="674"/>
      <c r="O143" s="629"/>
      <c r="P143" s="629"/>
    </row>
    <row r="144" spans="1:16" ht="9" customHeight="1">
      <c r="A144" s="629"/>
      <c r="B144" s="629"/>
      <c r="C144" s="629"/>
      <c r="D144" s="629"/>
      <c r="E144" s="629"/>
      <c r="F144" s="629"/>
      <c r="G144" s="629"/>
      <c r="H144" s="629"/>
      <c r="I144" s="629"/>
      <c r="J144" s="714"/>
      <c r="K144" s="629"/>
      <c r="L144" s="629"/>
      <c r="M144" s="629"/>
      <c r="N144" s="674"/>
      <c r="O144" s="629"/>
      <c r="P144" s="629"/>
    </row>
    <row r="145" spans="1:16" ht="18.75">
      <c r="A145" s="629"/>
      <c r="B145" s="686" t="s">
        <v>510</v>
      </c>
      <c r="C145" s="686" t="s">
        <v>669</v>
      </c>
      <c r="D145" s="687" t="s">
        <v>529</v>
      </c>
      <c r="E145" s="629"/>
      <c r="F145" s="629"/>
      <c r="G145" s="629"/>
      <c r="H145" s="629"/>
      <c r="I145" s="629"/>
      <c r="J145" s="714"/>
      <c r="K145" s="629"/>
      <c r="L145" s="629"/>
      <c r="M145" s="629"/>
      <c r="N145" s="674"/>
      <c r="O145" s="629"/>
      <c r="P145" s="629"/>
    </row>
    <row r="146" spans="1:16" ht="18.75">
      <c r="A146" s="629"/>
      <c r="B146" s="672"/>
      <c r="C146" s="688" t="s">
        <v>530</v>
      </c>
      <c r="D146" s="645" t="s">
        <v>670</v>
      </c>
      <c r="E146" s="629"/>
      <c r="F146" s="629"/>
      <c r="G146" s="629"/>
      <c r="H146" s="629"/>
      <c r="I146" s="629"/>
      <c r="J146" s="714"/>
      <c r="K146" s="629"/>
      <c r="L146" s="629"/>
      <c r="M146" s="629"/>
      <c r="N146" s="674"/>
      <c r="O146" s="629"/>
      <c r="P146" s="629"/>
    </row>
    <row r="147" spans="1:16" ht="15.75">
      <c r="A147" s="629"/>
      <c r="B147" s="629"/>
      <c r="C147" s="688" t="s">
        <v>531</v>
      </c>
      <c r="D147" s="645" t="s">
        <v>532</v>
      </c>
      <c r="E147" s="629"/>
      <c r="F147" s="629"/>
      <c r="G147" s="629"/>
      <c r="H147" s="629"/>
      <c r="I147" s="629"/>
      <c r="J147" s="714"/>
      <c r="K147" s="629"/>
      <c r="L147" s="629"/>
      <c r="M147" s="629"/>
      <c r="N147" s="674"/>
      <c r="O147" s="629"/>
      <c r="P147" s="629"/>
    </row>
    <row r="148" spans="1:16" ht="15.75">
      <c r="A148" s="629"/>
      <c r="B148" s="629"/>
      <c r="C148" s="688" t="s">
        <v>517</v>
      </c>
      <c r="D148" s="645" t="s">
        <v>533</v>
      </c>
      <c r="E148" s="629"/>
      <c r="F148" s="629"/>
      <c r="G148" s="629"/>
      <c r="H148" s="629"/>
      <c r="I148" s="629"/>
      <c r="J148" s="714"/>
      <c r="K148" s="629"/>
      <c r="L148" s="629"/>
      <c r="M148" s="629"/>
      <c r="N148" s="674"/>
      <c r="O148" s="629"/>
      <c r="P148" s="629"/>
    </row>
    <row r="149" spans="1:16" ht="15.75">
      <c r="A149" s="629"/>
      <c r="B149" s="629"/>
      <c r="C149" s="629"/>
      <c r="D149" s="672"/>
      <c r="E149" s="685"/>
      <c r="F149" s="629"/>
      <c r="G149" s="629"/>
      <c r="H149" s="629"/>
      <c r="I149" s="629"/>
      <c r="J149" s="714"/>
      <c r="K149" s="629"/>
      <c r="L149" s="629"/>
      <c r="M149" s="629"/>
      <c r="N149" s="674"/>
      <c r="O149" s="629"/>
      <c r="P149" s="629"/>
    </row>
    <row r="150" spans="1:16" ht="18.75">
      <c r="A150" s="629"/>
      <c r="B150" s="629"/>
      <c r="C150" s="688" t="s">
        <v>671</v>
      </c>
      <c r="D150" s="716">
        <v>0.74</v>
      </c>
      <c r="E150" s="629"/>
      <c r="F150" s="629" t="s">
        <v>525</v>
      </c>
      <c r="G150" s="629"/>
      <c r="H150" s="629"/>
      <c r="I150" s="629"/>
      <c r="J150" s="714"/>
      <c r="K150" s="629"/>
      <c r="L150" s="629"/>
      <c r="M150" s="629"/>
      <c r="N150" s="674"/>
      <c r="O150" s="629"/>
      <c r="P150" s="629"/>
    </row>
    <row r="151" spans="1:16" ht="18.75">
      <c r="A151" s="629"/>
      <c r="B151" s="629"/>
      <c r="C151" s="688" t="s">
        <v>672</v>
      </c>
      <c r="D151" s="716">
        <v>0.35</v>
      </c>
      <c r="E151" s="629"/>
      <c r="F151" s="629" t="s">
        <v>525</v>
      </c>
      <c r="G151" s="629"/>
      <c r="H151" s="629"/>
      <c r="I151" s="629"/>
      <c r="J151" s="714"/>
      <c r="K151" s="629"/>
      <c r="L151" s="629"/>
      <c r="M151" s="629"/>
      <c r="N151" s="674"/>
      <c r="O151" s="629"/>
      <c r="P151" s="629"/>
    </row>
    <row r="152" spans="1:16" ht="15.75">
      <c r="A152" s="629"/>
      <c r="B152" s="629"/>
      <c r="C152" s="688" t="s">
        <v>534</v>
      </c>
      <c r="D152" s="716">
        <v>10</v>
      </c>
      <c r="E152" s="645" t="s">
        <v>440</v>
      </c>
      <c r="F152" s="629" t="s">
        <v>525</v>
      </c>
      <c r="G152" s="629"/>
      <c r="H152" s="629"/>
      <c r="I152" s="629"/>
      <c r="J152" s="714"/>
      <c r="K152" s="629"/>
      <c r="L152" s="629"/>
      <c r="M152" s="629"/>
      <c r="N152" s="674"/>
      <c r="O152" s="629"/>
      <c r="P152" s="629"/>
    </row>
    <row r="153" spans="1:16" ht="15.75">
      <c r="A153" s="629"/>
      <c r="B153" s="629"/>
      <c r="C153" s="688" t="s">
        <v>513</v>
      </c>
      <c r="D153" s="721">
        <v>3.2</v>
      </c>
      <c r="E153" s="645" t="s">
        <v>535</v>
      </c>
      <c r="F153" s="629" t="s">
        <v>536</v>
      </c>
      <c r="G153" s="629"/>
      <c r="H153" s="629"/>
      <c r="I153" s="629"/>
      <c r="J153" s="714"/>
      <c r="K153" s="629"/>
      <c r="L153" s="629"/>
      <c r="M153" s="629"/>
      <c r="N153" s="674"/>
      <c r="O153" s="629"/>
      <c r="P153" s="629"/>
    </row>
    <row r="154" spans="1:16" ht="15.75">
      <c r="A154" s="629"/>
      <c r="B154" s="629"/>
      <c r="C154" s="629"/>
      <c r="D154" s="629"/>
      <c r="E154" s="629"/>
      <c r="F154" s="645"/>
      <c r="G154" s="629"/>
      <c r="H154" s="629"/>
      <c r="I154" s="629"/>
      <c r="J154" s="714"/>
      <c r="K154" s="629"/>
      <c r="L154" s="629"/>
      <c r="M154" s="629"/>
      <c r="N154" s="674"/>
      <c r="O154" s="629"/>
      <c r="P154" s="629"/>
    </row>
    <row r="155" spans="1:16" ht="18.75">
      <c r="A155" s="645"/>
      <c r="B155" s="629"/>
      <c r="C155" s="722" t="s">
        <v>673</v>
      </c>
      <c r="D155" s="723">
        <f>$D$150*0.0032*(($D$152/5)^1.3)/($D$153/2)^1.4</f>
        <v>3.0196229445851866E-3</v>
      </c>
      <c r="E155" s="693" t="s">
        <v>439</v>
      </c>
      <c r="F155" s="629"/>
      <c r="G155" s="629"/>
      <c r="H155" s="629"/>
      <c r="I155" s="629"/>
      <c r="J155" s="714"/>
      <c r="K155" s="629"/>
      <c r="L155" s="629"/>
      <c r="M155" s="629"/>
      <c r="N155" s="674"/>
      <c r="O155" s="629"/>
      <c r="P155" s="629"/>
    </row>
    <row r="156" spans="1:16" ht="15.75">
      <c r="A156" s="645"/>
      <c r="B156" s="629"/>
      <c r="C156" s="686"/>
      <c r="D156" s="724"/>
      <c r="E156" s="629"/>
      <c r="F156" s="629"/>
      <c r="G156" s="629"/>
      <c r="H156" s="629"/>
      <c r="I156" s="629"/>
      <c r="J156" s="714"/>
      <c r="K156" s="629"/>
      <c r="L156" s="629"/>
      <c r="M156" s="629"/>
      <c r="N156" s="674"/>
      <c r="O156" s="629"/>
      <c r="P156" s="629"/>
    </row>
    <row r="157" spans="1:16" ht="18.75">
      <c r="A157" s="645"/>
      <c r="B157" s="629"/>
      <c r="C157" s="722" t="s">
        <v>674</v>
      </c>
      <c r="D157" s="723">
        <f>$D$151*0.0032*(($D$152/5)^1.3)/($D$153/2)^1.4</f>
        <v>1.4282000413578587E-3</v>
      </c>
      <c r="E157" s="693" t="s">
        <v>439</v>
      </c>
      <c r="F157" s="629"/>
      <c r="G157" s="629"/>
      <c r="H157" s="629"/>
      <c r="I157" s="629"/>
      <c r="J157" s="714"/>
      <c r="K157" s="629"/>
      <c r="L157" s="629"/>
      <c r="M157" s="629"/>
      <c r="N157" s="674"/>
      <c r="O157" s="629"/>
      <c r="P157" s="629"/>
    </row>
    <row r="158" spans="1:16" ht="15.75">
      <c r="A158" s="684"/>
      <c r="B158" s="629"/>
      <c r="C158" s="629"/>
      <c r="D158" s="672"/>
      <c r="E158" s="696"/>
      <c r="F158" s="629"/>
      <c r="G158" s="629"/>
      <c r="H158" s="629"/>
      <c r="I158" s="629"/>
      <c r="J158" s="714"/>
      <c r="K158" s="629"/>
      <c r="L158" s="629"/>
      <c r="M158" s="629"/>
      <c r="N158" s="674"/>
      <c r="O158" s="629"/>
      <c r="P158" s="629"/>
    </row>
    <row r="159" spans="1:16" ht="18.75">
      <c r="A159" s="684"/>
      <c r="B159" s="629" t="s">
        <v>675</v>
      </c>
      <c r="C159" s="645"/>
      <c r="D159" s="725"/>
      <c r="E159" s="699"/>
      <c r="F159" s="629"/>
      <c r="G159" s="629"/>
      <c r="H159" s="629"/>
      <c r="I159" s="629"/>
      <c r="J159" s="714"/>
      <c r="K159" s="629"/>
      <c r="L159" s="629"/>
      <c r="M159" s="629"/>
      <c r="N159" s="674"/>
      <c r="O159" s="629"/>
      <c r="P159" s="629"/>
    </row>
    <row r="160" spans="1:16" ht="8.25" customHeight="1">
      <c r="A160" s="639"/>
      <c r="B160" s="726"/>
      <c r="C160" s="629"/>
      <c r="D160" s="629"/>
      <c r="E160" s="687"/>
      <c r="F160" s="687"/>
      <c r="G160" s="687"/>
      <c r="H160" s="629"/>
      <c r="I160" s="629"/>
      <c r="J160" s="714"/>
      <c r="K160" s="629"/>
      <c r="L160" s="629"/>
      <c r="M160" s="629"/>
      <c r="N160" s="674"/>
      <c r="O160" s="629"/>
      <c r="P160" s="629"/>
    </row>
    <row r="161" spans="1:16" ht="18.75">
      <c r="A161" s="684"/>
      <c r="B161" s="629"/>
      <c r="C161" s="697" t="s">
        <v>537</v>
      </c>
      <c r="D161" s="645" t="s">
        <v>676</v>
      </c>
      <c r="E161" s="672"/>
      <c r="F161" s="645"/>
      <c r="G161" s="727"/>
      <c r="H161" s="629"/>
      <c r="I161" s="629"/>
      <c r="J161" s="714"/>
      <c r="K161" s="629"/>
      <c r="L161" s="629"/>
      <c r="M161" s="629"/>
      <c r="N161" s="674"/>
      <c r="O161" s="629"/>
      <c r="P161" s="629"/>
    </row>
    <row r="162" spans="1:16" ht="7.9" customHeight="1">
      <c r="A162" s="684"/>
      <c r="B162" s="629"/>
      <c r="C162" s="687"/>
      <c r="D162" s="629"/>
      <c r="E162" s="715"/>
      <c r="F162" s="645"/>
      <c r="G162" s="727"/>
      <c r="H162" s="629"/>
      <c r="I162" s="629"/>
      <c r="J162" s="714"/>
      <c r="K162" s="629"/>
      <c r="L162" s="629"/>
      <c r="M162" s="629"/>
      <c r="N162" s="674"/>
      <c r="O162" s="629"/>
      <c r="P162" s="629"/>
    </row>
    <row r="163" spans="1:16" ht="18.75">
      <c r="A163" s="684"/>
      <c r="B163" s="686" t="s">
        <v>510</v>
      </c>
      <c r="C163" s="688" t="s">
        <v>677</v>
      </c>
      <c r="D163" s="724">
        <f>D155</f>
        <v>3.0196229445851866E-3</v>
      </c>
      <c r="E163" s="629" t="s">
        <v>439</v>
      </c>
      <c r="F163" s="645"/>
      <c r="G163" s="727"/>
      <c r="H163" s="629"/>
      <c r="I163" s="629"/>
      <c r="J163" s="714"/>
      <c r="K163" s="629"/>
      <c r="L163" s="629"/>
      <c r="M163" s="629"/>
      <c r="N163" s="674"/>
      <c r="O163" s="629"/>
      <c r="P163" s="629"/>
    </row>
    <row r="164" spans="1:16" ht="18.75">
      <c r="A164" s="639"/>
      <c r="B164" s="629"/>
      <c r="C164" s="686" t="s">
        <v>678</v>
      </c>
      <c r="D164" s="724">
        <f>D157</f>
        <v>1.4282000413578587E-3</v>
      </c>
      <c r="E164" s="629" t="s">
        <v>439</v>
      </c>
      <c r="F164" s="645"/>
      <c r="G164" s="727"/>
      <c r="H164" s="629"/>
      <c r="I164" s="629"/>
      <c r="J164" s="714"/>
      <c r="K164" s="629"/>
      <c r="L164" s="629"/>
      <c r="M164" s="629"/>
      <c r="N164" s="674"/>
      <c r="O164" s="629"/>
      <c r="P164" s="629"/>
    </row>
    <row r="165" spans="1:16" ht="9" customHeight="1">
      <c r="A165" s="639"/>
      <c r="B165" s="629"/>
      <c r="C165" s="686"/>
      <c r="D165" s="724"/>
      <c r="E165" s="629"/>
      <c r="F165" s="645"/>
      <c r="G165" s="727"/>
      <c r="H165" s="629"/>
      <c r="I165" s="629"/>
      <c r="J165" s="714"/>
      <c r="K165" s="629"/>
      <c r="L165" s="629"/>
      <c r="M165" s="629"/>
      <c r="N165" s="674"/>
      <c r="O165" s="629"/>
      <c r="P165" s="629"/>
    </row>
    <row r="166" spans="1:16" ht="18.75">
      <c r="A166" s="639"/>
      <c r="B166" s="726"/>
      <c r="C166" s="686" t="s">
        <v>663</v>
      </c>
      <c r="D166" s="728">
        <f>E73</f>
        <v>300000</v>
      </c>
      <c r="E166" s="629" t="s">
        <v>271</v>
      </c>
      <c r="F166" s="645"/>
      <c r="G166" s="727"/>
      <c r="H166" s="629"/>
      <c r="I166" s="714"/>
      <c r="J166" s="714"/>
      <c r="K166" s="629"/>
      <c r="L166" s="629"/>
      <c r="M166" s="629"/>
      <c r="N166" s="674"/>
      <c r="O166" s="629"/>
      <c r="P166" s="629"/>
    </row>
    <row r="167" spans="1:16" ht="10.5" customHeight="1">
      <c r="A167" s="639"/>
      <c r="B167" s="726"/>
      <c r="C167" s="686"/>
      <c r="D167" s="699"/>
      <c r="E167" s="629"/>
      <c r="F167" s="645"/>
      <c r="G167" s="727"/>
      <c r="H167" s="629"/>
      <c r="I167" s="714"/>
      <c r="J167" s="714"/>
      <c r="K167" s="629"/>
      <c r="L167" s="629"/>
      <c r="M167" s="629"/>
      <c r="N167" s="674"/>
      <c r="O167" s="629"/>
      <c r="P167" s="629"/>
    </row>
    <row r="168" spans="1:16" ht="15.75">
      <c r="A168" s="639"/>
      <c r="B168" s="729"/>
      <c r="C168" s="708" t="s">
        <v>584</v>
      </c>
      <c r="D168" s="730">
        <f>D163*D166/2000</f>
        <v>0.452943441687778</v>
      </c>
      <c r="E168" s="710" t="s">
        <v>538</v>
      </c>
      <c r="F168" s="731"/>
      <c r="G168" s="629"/>
      <c r="H168" s="629"/>
      <c r="I168" s="714"/>
      <c r="J168" s="714"/>
      <c r="K168" s="629"/>
      <c r="L168" s="629"/>
      <c r="M168" s="629"/>
      <c r="N168" s="674"/>
      <c r="O168" s="629"/>
      <c r="P168" s="629"/>
    </row>
    <row r="169" spans="1:16" ht="15.75">
      <c r="A169" s="639"/>
      <c r="B169" s="729"/>
      <c r="C169" s="715"/>
      <c r="D169" s="715"/>
      <c r="E169" s="727"/>
      <c r="F169" s="629"/>
      <c r="G169" s="629"/>
      <c r="H169" s="629"/>
      <c r="I169" s="714"/>
      <c r="J169" s="714"/>
      <c r="K169" s="629"/>
      <c r="L169" s="629"/>
      <c r="M169" s="629"/>
      <c r="N169" s="674"/>
      <c r="O169" s="629"/>
      <c r="P169" s="629"/>
    </row>
    <row r="170" spans="1:16" ht="17.25">
      <c r="A170" s="639"/>
      <c r="B170" s="732"/>
      <c r="C170" s="708" t="s">
        <v>679</v>
      </c>
      <c r="D170" s="730">
        <f>D164*D166/2000</f>
        <v>0.21423000620367882</v>
      </c>
      <c r="E170" s="710" t="s">
        <v>538</v>
      </c>
      <c r="F170" s="731"/>
      <c r="G170" s="629"/>
      <c r="H170" s="629"/>
      <c r="I170" s="714"/>
      <c r="J170" s="714"/>
      <c r="K170" s="629"/>
      <c r="L170" s="629"/>
      <c r="M170" s="629"/>
      <c r="N170" s="674"/>
      <c r="O170" s="629"/>
      <c r="P170" s="629"/>
    </row>
    <row r="171" spans="1:16" ht="15.75">
      <c r="A171" s="629"/>
      <c r="B171" s="629"/>
      <c r="C171" s="645"/>
      <c r="D171" s="672"/>
      <c r="E171" s="696"/>
      <c r="F171" s="696"/>
      <c r="G171" s="629"/>
      <c r="H171" s="629"/>
      <c r="I171" s="629"/>
      <c r="J171" s="629"/>
      <c r="K171" s="629"/>
      <c r="L171" s="629"/>
      <c r="M171" s="629"/>
      <c r="N171" s="674"/>
      <c r="O171" s="629"/>
      <c r="P171" s="629"/>
    </row>
    <row r="172" spans="1:16" ht="15" customHeight="1">
      <c r="A172" s="684" t="s">
        <v>539</v>
      </c>
      <c r="B172" s="441" t="s">
        <v>540</v>
      </c>
      <c r="C172" s="629"/>
      <c r="D172" s="629"/>
      <c r="E172" s="696"/>
      <c r="F172" s="696"/>
      <c r="G172" s="629"/>
      <c r="H172" s="629"/>
      <c r="I172" s="629"/>
      <c r="J172" s="629"/>
      <c r="K172" s="629"/>
      <c r="L172" s="629"/>
      <c r="M172" s="629"/>
      <c r="N172" s="674"/>
      <c r="O172" s="629"/>
      <c r="P172" s="629"/>
    </row>
    <row r="173" spans="1:16" ht="9" customHeight="1">
      <c r="A173" s="629"/>
      <c r="B173" s="629"/>
      <c r="C173" s="645"/>
      <c r="D173" s="672"/>
      <c r="E173" s="696"/>
      <c r="F173" s="696"/>
      <c r="G173" s="629"/>
      <c r="H173" s="629"/>
      <c r="I173" s="629"/>
      <c r="J173" s="629"/>
      <c r="K173" s="629"/>
      <c r="L173" s="629"/>
      <c r="M173" s="629"/>
      <c r="N173" s="674"/>
      <c r="O173" s="629"/>
      <c r="P173" s="629"/>
    </row>
    <row r="174" spans="1:16" ht="18.75">
      <c r="A174" s="629"/>
      <c r="B174" s="629" t="s">
        <v>680</v>
      </c>
      <c r="C174" s="629"/>
      <c r="D174" s="629"/>
      <c r="E174" s="629"/>
      <c r="F174" s="629"/>
      <c r="G174" s="629"/>
      <c r="H174" s="629"/>
      <c r="I174" s="629"/>
      <c r="J174" s="629"/>
      <c r="K174" s="629"/>
      <c r="L174" s="629"/>
      <c r="M174" s="629"/>
      <c r="N174" s="674"/>
      <c r="O174" s="629"/>
      <c r="P174" s="629"/>
    </row>
    <row r="175" spans="1:16" ht="15.75">
      <c r="A175" s="629"/>
      <c r="B175" s="678" t="s">
        <v>541</v>
      </c>
      <c r="C175" s="629"/>
      <c r="D175" s="629"/>
      <c r="E175" s="629"/>
      <c r="F175" s="629"/>
      <c r="G175" s="629"/>
      <c r="H175" s="629"/>
      <c r="I175" s="629"/>
      <c r="J175" s="629"/>
      <c r="K175" s="629"/>
      <c r="L175" s="629"/>
      <c r="M175" s="629"/>
      <c r="N175" s="674"/>
      <c r="O175" s="629"/>
      <c r="P175" s="629"/>
    </row>
    <row r="176" spans="1:16" ht="9.75" customHeight="1">
      <c r="A176" s="629"/>
      <c r="B176" s="629"/>
      <c r="C176" s="629"/>
      <c r="D176" s="629"/>
      <c r="E176" s="629"/>
      <c r="F176" s="629"/>
      <c r="G176" s="629"/>
      <c r="H176" s="629"/>
      <c r="I176" s="629"/>
      <c r="J176" s="629"/>
      <c r="K176" s="629"/>
      <c r="L176" s="629"/>
      <c r="M176" s="629"/>
      <c r="N176" s="674"/>
      <c r="O176" s="629"/>
      <c r="P176" s="629"/>
    </row>
    <row r="177" spans="1:16" ht="20.25">
      <c r="A177" s="629"/>
      <c r="B177" s="629"/>
      <c r="C177" s="686" t="s">
        <v>681</v>
      </c>
      <c r="D177" s="687" t="s">
        <v>668</v>
      </c>
      <c r="E177" s="685"/>
      <c r="F177" s="629"/>
      <c r="G177" s="629"/>
      <c r="H177" s="629"/>
      <c r="I177" s="629"/>
      <c r="J177" s="629"/>
      <c r="K177" s="629"/>
      <c r="L177" s="629"/>
      <c r="M177" s="629"/>
      <c r="N177" s="674"/>
      <c r="O177" s="629"/>
      <c r="P177" s="629"/>
    </row>
    <row r="178" spans="1:16" ht="8.1" customHeight="1">
      <c r="A178" s="629"/>
      <c r="B178" s="629"/>
      <c r="C178" s="629"/>
      <c r="D178" s="629"/>
      <c r="E178" s="629"/>
      <c r="F178" s="629"/>
      <c r="G178" s="629"/>
      <c r="H178" s="629"/>
      <c r="I178" s="629"/>
      <c r="J178" s="629"/>
      <c r="K178" s="629"/>
      <c r="L178" s="629"/>
      <c r="M178" s="629"/>
      <c r="N178" s="674"/>
      <c r="O178" s="629"/>
      <c r="P178" s="629"/>
    </row>
    <row r="179" spans="1:16" ht="18.75">
      <c r="A179" s="629"/>
      <c r="B179" s="686" t="s">
        <v>510</v>
      </c>
      <c r="C179" s="686" t="s">
        <v>659</v>
      </c>
      <c r="D179" s="687" t="s">
        <v>682</v>
      </c>
      <c r="E179" s="629"/>
      <c r="F179" s="629"/>
      <c r="G179" s="629"/>
      <c r="H179" s="629"/>
      <c r="I179" s="629"/>
      <c r="J179" s="629"/>
      <c r="K179" s="629"/>
      <c r="L179" s="629"/>
      <c r="M179" s="629"/>
      <c r="N179" s="674"/>
      <c r="O179" s="629"/>
      <c r="P179" s="629"/>
    </row>
    <row r="180" spans="1:16" ht="18.75">
      <c r="A180" s="629"/>
      <c r="B180" s="672"/>
      <c r="C180" s="688" t="s">
        <v>542</v>
      </c>
      <c r="D180" s="645" t="s">
        <v>670</v>
      </c>
      <c r="E180" s="629"/>
      <c r="F180" s="629"/>
      <c r="G180" s="629"/>
      <c r="H180" s="629"/>
      <c r="I180" s="629"/>
      <c r="J180" s="629"/>
      <c r="K180" s="629"/>
      <c r="L180" s="629"/>
      <c r="M180" s="629"/>
      <c r="N180" s="674"/>
      <c r="O180" s="629"/>
      <c r="P180" s="629"/>
    </row>
    <row r="181" spans="1:16" ht="18.75">
      <c r="A181" s="629"/>
      <c r="B181" s="629"/>
      <c r="C181" s="688" t="s">
        <v>683</v>
      </c>
      <c r="D181" s="645" t="s">
        <v>543</v>
      </c>
      <c r="E181" s="629"/>
      <c r="F181" s="629"/>
      <c r="G181" s="629"/>
      <c r="H181" s="629"/>
      <c r="I181" s="629"/>
      <c r="J181" s="629"/>
      <c r="K181" s="629"/>
      <c r="L181" s="629"/>
      <c r="M181" s="629"/>
      <c r="N181" s="674"/>
      <c r="O181" s="629"/>
      <c r="P181" s="629"/>
    </row>
    <row r="182" spans="1:16" ht="15.75">
      <c r="A182" s="629"/>
      <c r="B182" s="629"/>
      <c r="C182" s="688" t="s">
        <v>513</v>
      </c>
      <c r="D182" s="645" t="s">
        <v>533</v>
      </c>
      <c r="E182" s="629"/>
      <c r="F182" s="629"/>
      <c r="G182" s="629"/>
      <c r="H182" s="629"/>
      <c r="I182" s="629"/>
      <c r="J182" s="629"/>
      <c r="K182" s="629"/>
      <c r="L182" s="629"/>
      <c r="M182" s="629"/>
      <c r="N182" s="674"/>
      <c r="O182" s="629"/>
      <c r="P182" s="629"/>
    </row>
    <row r="183" spans="1:16" ht="8.1" customHeight="1">
      <c r="A183" s="629"/>
      <c r="B183" s="629"/>
      <c r="C183" s="629"/>
      <c r="D183" s="672"/>
      <c r="E183" s="685"/>
      <c r="F183" s="629"/>
      <c r="G183" s="629"/>
      <c r="H183" s="629"/>
      <c r="I183" s="629"/>
      <c r="J183" s="629"/>
      <c r="K183" s="629"/>
      <c r="L183" s="629"/>
      <c r="M183" s="629"/>
      <c r="N183" s="674"/>
      <c r="O183" s="629"/>
      <c r="P183" s="629"/>
    </row>
    <row r="184" spans="1:16" ht="18.75">
      <c r="A184" s="629"/>
      <c r="B184" s="629"/>
      <c r="C184" s="688" t="s">
        <v>684</v>
      </c>
      <c r="D184" s="725">
        <v>0.74</v>
      </c>
      <c r="E184" s="629"/>
      <c r="F184" s="629" t="s">
        <v>525</v>
      </c>
      <c r="G184" s="629"/>
      <c r="H184" s="629"/>
      <c r="I184" s="629"/>
      <c r="J184" s="629"/>
      <c r="K184" s="629"/>
      <c r="L184" s="629"/>
      <c r="M184" s="629"/>
      <c r="N184" s="674"/>
      <c r="O184" s="629"/>
      <c r="P184" s="629"/>
    </row>
    <row r="185" spans="1:16" ht="18.75">
      <c r="A185" s="629"/>
      <c r="B185" s="629"/>
      <c r="C185" s="688" t="s">
        <v>685</v>
      </c>
      <c r="D185" s="725">
        <v>0.35</v>
      </c>
      <c r="E185" s="629"/>
      <c r="F185" s="629" t="s">
        <v>525</v>
      </c>
      <c r="G185" s="629"/>
      <c r="H185" s="629"/>
      <c r="I185" s="629"/>
      <c r="J185" s="629"/>
      <c r="K185" s="629"/>
      <c r="L185" s="629"/>
      <c r="M185" s="629"/>
      <c r="N185" s="674"/>
      <c r="O185" s="629"/>
      <c r="P185" s="629"/>
    </row>
    <row r="186" spans="1:16" ht="8.25" customHeight="1">
      <c r="A186" s="629"/>
      <c r="B186" s="629"/>
      <c r="C186" s="688"/>
      <c r="D186" s="725"/>
      <c r="E186" s="629"/>
      <c r="F186" s="629"/>
      <c r="G186" s="629"/>
      <c r="H186" s="629"/>
      <c r="I186" s="629"/>
      <c r="J186" s="629"/>
      <c r="K186" s="629"/>
      <c r="L186" s="629"/>
      <c r="M186" s="629"/>
      <c r="N186" s="674"/>
      <c r="O186" s="629"/>
      <c r="P186" s="629"/>
    </row>
    <row r="187" spans="1:16" ht="18.75">
      <c r="A187" s="629"/>
      <c r="B187" s="629"/>
      <c r="C187" s="688" t="s">
        <v>683</v>
      </c>
      <c r="D187" s="725">
        <v>10</v>
      </c>
      <c r="E187" s="645" t="s">
        <v>440</v>
      </c>
      <c r="F187" s="629" t="s">
        <v>525</v>
      </c>
      <c r="G187" s="629"/>
      <c r="H187" s="629"/>
      <c r="I187" s="629"/>
      <c r="J187" s="629"/>
      <c r="K187" s="629"/>
      <c r="L187" s="629"/>
      <c r="M187" s="629"/>
      <c r="N187" s="674"/>
      <c r="O187" s="629"/>
      <c r="P187" s="629"/>
    </row>
    <row r="188" spans="1:16" ht="15.75">
      <c r="A188" s="629"/>
      <c r="B188" s="629"/>
      <c r="C188" s="688" t="s">
        <v>513</v>
      </c>
      <c r="D188" s="733">
        <v>3.2</v>
      </c>
      <c r="E188" s="645" t="s">
        <v>535</v>
      </c>
      <c r="F188" s="629" t="s">
        <v>544</v>
      </c>
      <c r="G188" s="629"/>
      <c r="H188" s="629"/>
      <c r="I188" s="629"/>
      <c r="J188" s="629"/>
      <c r="K188" s="629"/>
      <c r="L188" s="629"/>
      <c r="M188" s="629"/>
      <c r="N188" s="674"/>
      <c r="O188" s="629"/>
      <c r="P188" s="629"/>
    </row>
    <row r="189" spans="1:16" ht="15" customHeight="1">
      <c r="A189" s="629"/>
      <c r="B189" s="629"/>
      <c r="C189" s="629"/>
      <c r="D189" s="629"/>
      <c r="E189" s="629"/>
      <c r="F189" s="645"/>
      <c r="G189" s="629"/>
      <c r="H189" s="629"/>
      <c r="I189" s="629"/>
      <c r="J189" s="629"/>
      <c r="K189" s="629"/>
      <c r="L189" s="629"/>
      <c r="M189" s="629"/>
      <c r="N189" s="674"/>
      <c r="O189" s="629"/>
      <c r="P189" s="629"/>
    </row>
    <row r="190" spans="1:16" ht="18.75">
      <c r="A190" s="629"/>
      <c r="B190" s="629"/>
      <c r="C190" s="691" t="s">
        <v>686</v>
      </c>
      <c r="D190" s="723">
        <f>$D$184*0.0032*(($D$187/5)^1.3)/((D188/2)^1.4)</f>
        <v>3.0196229445851866E-3</v>
      </c>
      <c r="E190" s="693" t="s">
        <v>439</v>
      </c>
      <c r="F190" s="694"/>
      <c r="G190" s="629"/>
      <c r="H190" s="629"/>
      <c r="I190" s="629"/>
      <c r="J190" s="629"/>
      <c r="K190" s="629"/>
      <c r="L190" s="629"/>
      <c r="M190" s="629"/>
      <c r="N190" s="674"/>
      <c r="O190" s="629"/>
      <c r="P190" s="629"/>
    </row>
    <row r="191" spans="1:16" ht="9" customHeight="1">
      <c r="A191" s="629"/>
      <c r="B191" s="629"/>
      <c r="C191" s="734"/>
      <c r="D191" s="723"/>
      <c r="E191" s="735"/>
      <c r="F191" s="694"/>
      <c r="G191" s="629"/>
      <c r="H191" s="629"/>
      <c r="I191" s="629"/>
      <c r="J191" s="629"/>
      <c r="K191" s="629"/>
      <c r="L191" s="629"/>
      <c r="M191" s="629"/>
      <c r="N191" s="674"/>
      <c r="O191" s="629"/>
      <c r="P191" s="629"/>
    </row>
    <row r="192" spans="1:16" ht="15" customHeight="1">
      <c r="A192" s="629"/>
      <c r="B192" s="686"/>
      <c r="C192" s="691" t="s">
        <v>687</v>
      </c>
      <c r="D192" s="723">
        <f>$D$185*0.0032*(($D$187/5)^1.3)/((D188/2)^1.4)</f>
        <v>1.4282000413578587E-3</v>
      </c>
      <c r="E192" s="693" t="s">
        <v>439</v>
      </c>
      <c r="F192" s="629"/>
      <c r="G192" s="629"/>
      <c r="H192" s="629"/>
      <c r="I192" s="629"/>
      <c r="J192" s="629"/>
      <c r="K192" s="629"/>
      <c r="L192" s="629"/>
      <c r="M192" s="629"/>
      <c r="N192" s="674"/>
      <c r="O192" s="629"/>
      <c r="P192" s="629"/>
    </row>
    <row r="193" spans="1:16" ht="12" customHeight="1">
      <c r="A193" s="629"/>
      <c r="B193" s="686"/>
      <c r="C193" s="686"/>
      <c r="D193" s="686"/>
      <c r="E193" s="724"/>
      <c r="F193" s="629"/>
      <c r="G193" s="629"/>
      <c r="H193" s="629"/>
      <c r="I193" s="629"/>
      <c r="J193" s="629"/>
      <c r="K193" s="629"/>
      <c r="L193" s="629"/>
      <c r="M193" s="629"/>
      <c r="N193" s="674"/>
      <c r="O193" s="629"/>
      <c r="P193" s="629"/>
    </row>
    <row r="194" spans="1:16" ht="18.75">
      <c r="A194" s="629"/>
      <c r="B194" s="629" t="s">
        <v>688</v>
      </c>
      <c r="C194" s="686"/>
      <c r="D194" s="696"/>
      <c r="E194" s="698"/>
      <c r="F194" s="696"/>
      <c r="G194" s="629"/>
      <c r="H194" s="629"/>
      <c r="I194" s="629"/>
      <c r="J194" s="629"/>
      <c r="K194" s="629"/>
      <c r="L194" s="629"/>
      <c r="M194" s="629"/>
      <c r="N194" s="674"/>
      <c r="O194" s="629"/>
      <c r="P194" s="629"/>
    </row>
    <row r="195" spans="1:16" ht="8.1" customHeight="1">
      <c r="A195" s="629"/>
      <c r="B195" s="629"/>
      <c r="C195" s="686"/>
      <c r="D195" s="696"/>
      <c r="E195" s="698"/>
      <c r="F195" s="696"/>
      <c r="G195" s="629"/>
      <c r="H195" s="629"/>
      <c r="I195" s="629"/>
      <c r="J195" s="629"/>
      <c r="K195" s="629"/>
      <c r="L195" s="629"/>
      <c r="M195" s="629"/>
      <c r="N195" s="674"/>
      <c r="O195" s="629"/>
      <c r="P195" s="629"/>
    </row>
    <row r="196" spans="1:16" ht="18.75">
      <c r="A196" s="629"/>
      <c r="B196" s="629"/>
      <c r="C196" s="686" t="s">
        <v>537</v>
      </c>
      <c r="D196" s="645" t="s">
        <v>689</v>
      </c>
      <c r="E196" s="672"/>
      <c r="F196" s="696"/>
      <c r="G196" s="715"/>
      <c r="H196" s="629"/>
      <c r="I196" s="629"/>
      <c r="J196" s="629"/>
      <c r="K196" s="629"/>
      <c r="L196" s="629"/>
      <c r="M196" s="629"/>
      <c r="N196" s="674"/>
      <c r="O196" s="629"/>
      <c r="P196" s="629"/>
    </row>
    <row r="197" spans="1:16" ht="8.1" customHeight="1">
      <c r="A197" s="629"/>
      <c r="B197" s="629"/>
      <c r="C197" s="686"/>
      <c r="D197" s="686"/>
      <c r="E197" s="686"/>
      <c r="F197" s="698"/>
      <c r="G197" s="696"/>
      <c r="H197" s="629"/>
      <c r="I197" s="629"/>
      <c r="J197" s="629"/>
      <c r="K197" s="629"/>
      <c r="L197" s="629"/>
      <c r="M197" s="629"/>
      <c r="N197" s="674"/>
      <c r="O197" s="629"/>
      <c r="P197" s="629"/>
    </row>
    <row r="198" spans="1:16" ht="18.75">
      <c r="A198" s="629"/>
      <c r="B198" s="686" t="s">
        <v>510</v>
      </c>
      <c r="C198" s="686" t="s">
        <v>690</v>
      </c>
      <c r="D198" s="724">
        <f>D190</f>
        <v>3.0196229445851866E-3</v>
      </c>
      <c r="E198" s="629" t="s">
        <v>439</v>
      </c>
      <c r="F198" s="698"/>
      <c r="G198" s="629"/>
      <c r="H198" s="629"/>
      <c r="I198" s="629"/>
      <c r="J198" s="629"/>
      <c r="K198" s="629"/>
      <c r="L198" s="629"/>
      <c r="M198" s="629"/>
      <c r="N198" s="674"/>
      <c r="O198" s="629"/>
      <c r="P198" s="629"/>
    </row>
    <row r="199" spans="1:16" ht="18.75">
      <c r="A199" s="629"/>
      <c r="B199" s="686"/>
      <c r="C199" s="686" t="s">
        <v>691</v>
      </c>
      <c r="D199" s="724">
        <f>D192</f>
        <v>1.4282000413578587E-3</v>
      </c>
      <c r="E199" s="629" t="s">
        <v>439</v>
      </c>
      <c r="F199" s="698"/>
      <c r="G199" s="629"/>
      <c r="H199" s="629"/>
      <c r="I199" s="629"/>
      <c r="J199" s="629"/>
      <c r="K199" s="629"/>
      <c r="L199" s="629"/>
      <c r="M199" s="629"/>
      <c r="N199" s="674"/>
      <c r="O199" s="629"/>
      <c r="P199" s="629"/>
    </row>
    <row r="200" spans="1:16" ht="15.75">
      <c r="A200" s="629"/>
      <c r="B200" s="686"/>
      <c r="C200" s="686"/>
      <c r="D200" s="724"/>
      <c r="E200" s="629"/>
      <c r="F200" s="698"/>
      <c r="G200" s="629"/>
      <c r="H200" s="629"/>
      <c r="I200" s="629"/>
      <c r="J200" s="629"/>
      <c r="K200" s="629"/>
      <c r="L200" s="629"/>
      <c r="M200" s="629"/>
      <c r="N200" s="674"/>
      <c r="O200" s="629"/>
      <c r="P200" s="629"/>
    </row>
    <row r="201" spans="1:16" ht="18.75">
      <c r="A201" s="629"/>
      <c r="B201" s="629"/>
      <c r="C201" s="686" t="s">
        <v>692</v>
      </c>
      <c r="D201" s="699">
        <f>$E$74</f>
        <v>2000000</v>
      </c>
      <c r="E201" s="629" t="s">
        <v>271</v>
      </c>
      <c r="F201" s="629"/>
      <c r="G201" s="629"/>
      <c r="H201" s="629"/>
      <c r="I201" s="629"/>
      <c r="J201" s="629"/>
      <c r="K201" s="629"/>
      <c r="L201" s="629"/>
      <c r="M201" s="629"/>
      <c r="N201" s="674"/>
      <c r="O201" s="629"/>
      <c r="P201" s="629"/>
    </row>
    <row r="202" spans="1:16" ht="15.75">
      <c r="A202" s="629"/>
      <c r="B202" s="629"/>
      <c r="C202" s="645"/>
      <c r="D202" s="672"/>
      <c r="E202" s="696"/>
      <c r="F202" s="696"/>
      <c r="G202" s="629"/>
      <c r="H202" s="629"/>
      <c r="I202" s="629"/>
      <c r="J202" s="629"/>
      <c r="K202" s="629"/>
      <c r="L202" s="629"/>
      <c r="M202" s="629"/>
      <c r="N202" s="674"/>
      <c r="O202" s="629"/>
      <c r="P202" s="629"/>
    </row>
    <row r="203" spans="1:16" ht="15.75">
      <c r="A203" s="629"/>
      <c r="B203" s="629"/>
      <c r="C203" s="718" t="s">
        <v>523</v>
      </c>
      <c r="D203" s="709">
        <f>D198*D201/2000</f>
        <v>3.0196229445851865</v>
      </c>
      <c r="E203" s="710" t="s">
        <v>545</v>
      </c>
      <c r="F203" s="719"/>
      <c r="G203" s="629"/>
      <c r="H203" s="629"/>
      <c r="I203" s="629"/>
      <c r="J203" s="629"/>
      <c r="K203" s="629"/>
      <c r="L203" s="629"/>
      <c r="M203" s="629"/>
      <c r="N203" s="674"/>
      <c r="O203" s="629"/>
      <c r="P203" s="629"/>
    </row>
    <row r="204" spans="1:16" ht="15.75">
      <c r="A204" s="629"/>
      <c r="B204" s="629"/>
      <c r="C204" s="679"/>
      <c r="D204" s="720"/>
      <c r="E204" s="639"/>
      <c r="F204" s="696"/>
      <c r="G204" s="629"/>
      <c r="H204" s="629"/>
      <c r="I204" s="629"/>
      <c r="J204" s="629"/>
      <c r="K204" s="629"/>
      <c r="L204" s="629"/>
      <c r="M204" s="629"/>
      <c r="N204" s="674"/>
      <c r="O204" s="629"/>
      <c r="P204" s="629"/>
    </row>
    <row r="205" spans="1:16" ht="17.25">
      <c r="A205" s="629"/>
      <c r="B205" s="629"/>
      <c r="C205" s="718" t="s">
        <v>666</v>
      </c>
      <c r="D205" s="709">
        <f>D199*D201/2000</f>
        <v>1.4282000413578586</v>
      </c>
      <c r="E205" s="710" t="s">
        <v>545</v>
      </c>
      <c r="F205" s="719"/>
      <c r="G205" s="629"/>
      <c r="H205" s="629"/>
      <c r="I205" s="629"/>
      <c r="J205" s="629"/>
      <c r="K205" s="629"/>
      <c r="L205" s="629"/>
      <c r="M205" s="629"/>
      <c r="N205" s="674"/>
      <c r="O205" s="629"/>
      <c r="P205" s="629"/>
    </row>
    <row r="206" spans="1:16" ht="15" customHeight="1">
      <c r="A206" s="629"/>
      <c r="B206" s="629"/>
      <c r="C206" s="629"/>
      <c r="D206" s="679"/>
      <c r="E206" s="712"/>
      <c r="F206" s="639"/>
      <c r="G206" s="696"/>
      <c r="H206" s="629"/>
      <c r="I206" s="629"/>
      <c r="J206" s="629"/>
      <c r="K206" s="629"/>
      <c r="L206" s="629"/>
      <c r="M206" s="629"/>
      <c r="N206" s="674"/>
      <c r="O206" s="629"/>
      <c r="P206" s="629"/>
    </row>
    <row r="207" spans="1:16" ht="15" customHeight="1">
      <c r="A207" s="684" t="s">
        <v>546</v>
      </c>
      <c r="B207" s="441" t="s">
        <v>547</v>
      </c>
      <c r="C207" s="629"/>
      <c r="D207" s="629"/>
      <c r="E207" s="696"/>
      <c r="F207" s="696"/>
      <c r="G207" s="629"/>
      <c r="H207" s="629"/>
      <c r="I207" s="629"/>
      <c r="J207" s="629"/>
      <c r="K207" s="629"/>
      <c r="L207" s="629"/>
      <c r="M207" s="629"/>
      <c r="N207" s="674"/>
      <c r="O207" s="629"/>
      <c r="P207" s="629"/>
    </row>
    <row r="208" spans="1:16" ht="9" customHeight="1">
      <c r="A208" s="629"/>
      <c r="B208" s="629"/>
      <c r="C208" s="645"/>
      <c r="D208" s="672"/>
      <c r="E208" s="696"/>
      <c r="F208" s="696"/>
      <c r="G208" s="629"/>
      <c r="H208" s="629"/>
      <c r="I208" s="629"/>
      <c r="J208" s="629"/>
      <c r="K208" s="629"/>
      <c r="L208" s="629"/>
      <c r="M208" s="629"/>
      <c r="N208" s="674"/>
      <c r="O208" s="629"/>
      <c r="P208" s="629"/>
    </row>
    <row r="209" spans="1:16" ht="18.75">
      <c r="A209" s="629"/>
      <c r="B209" s="629" t="s">
        <v>693</v>
      </c>
      <c r="C209" s="629"/>
      <c r="D209" s="629"/>
      <c r="E209" s="629"/>
      <c r="F209" s="629"/>
      <c r="G209" s="629"/>
      <c r="H209" s="629"/>
      <c r="I209" s="629"/>
      <c r="J209" s="629"/>
      <c r="K209" s="629"/>
      <c r="L209" s="629"/>
      <c r="M209" s="629"/>
      <c r="N209" s="674"/>
      <c r="O209" s="629"/>
      <c r="P209" s="629"/>
    </row>
    <row r="210" spans="1:16" ht="9.75" customHeight="1">
      <c r="A210" s="629"/>
      <c r="B210" s="629"/>
      <c r="C210" s="629"/>
      <c r="D210" s="629"/>
      <c r="E210" s="629"/>
      <c r="F210" s="629"/>
      <c r="G210" s="629"/>
      <c r="H210" s="629"/>
      <c r="I210" s="629"/>
      <c r="J210" s="629"/>
      <c r="K210" s="629"/>
      <c r="L210" s="629"/>
      <c r="M210" s="629"/>
      <c r="N210" s="674"/>
      <c r="O210" s="629"/>
      <c r="P210" s="629"/>
    </row>
    <row r="211" spans="1:16" ht="20.25">
      <c r="A211" s="629"/>
      <c r="B211" s="629"/>
      <c r="C211" s="686" t="s">
        <v>667</v>
      </c>
      <c r="D211" s="687" t="s">
        <v>668</v>
      </c>
      <c r="E211" s="685"/>
      <c r="F211" s="629"/>
      <c r="G211" s="629"/>
      <c r="H211" s="629"/>
      <c r="I211" s="629"/>
      <c r="J211" s="629"/>
      <c r="K211" s="629"/>
      <c r="L211" s="629"/>
      <c r="M211" s="629"/>
      <c r="N211" s="674"/>
      <c r="O211" s="629"/>
      <c r="P211" s="629"/>
    </row>
    <row r="212" spans="1:16" ht="8.1" customHeight="1">
      <c r="A212" s="629"/>
      <c r="B212" s="629"/>
      <c r="C212" s="629"/>
      <c r="D212" s="629"/>
      <c r="E212" s="629"/>
      <c r="F212" s="629"/>
      <c r="G212" s="629"/>
      <c r="H212" s="629"/>
      <c r="I212" s="629"/>
      <c r="J212" s="629"/>
      <c r="K212" s="629"/>
      <c r="L212" s="629"/>
      <c r="M212" s="629"/>
      <c r="N212" s="674"/>
      <c r="O212" s="629"/>
      <c r="P212" s="629"/>
    </row>
    <row r="213" spans="1:16" ht="18.75">
      <c r="A213" s="629"/>
      <c r="B213" s="686" t="s">
        <v>510</v>
      </c>
      <c r="C213" s="686" t="s">
        <v>694</v>
      </c>
      <c r="D213" s="687" t="s">
        <v>529</v>
      </c>
      <c r="E213" s="629"/>
      <c r="F213" s="629"/>
      <c r="G213" s="629"/>
      <c r="H213" s="629"/>
      <c r="I213" s="629"/>
      <c r="J213" s="629"/>
      <c r="K213" s="629"/>
      <c r="L213" s="629"/>
      <c r="M213" s="629"/>
      <c r="N213" s="674"/>
      <c r="O213" s="629"/>
      <c r="P213" s="629"/>
    </row>
    <row r="214" spans="1:16" ht="18.75">
      <c r="A214" s="629"/>
      <c r="B214" s="672"/>
      <c r="C214" s="688" t="s">
        <v>542</v>
      </c>
      <c r="D214" s="645" t="s">
        <v>670</v>
      </c>
      <c r="E214" s="629"/>
      <c r="F214" s="629"/>
      <c r="G214" s="629"/>
      <c r="H214" s="629"/>
      <c r="I214" s="629"/>
      <c r="J214" s="629"/>
      <c r="K214" s="629"/>
      <c r="L214" s="629"/>
      <c r="M214" s="629"/>
      <c r="N214" s="674"/>
      <c r="O214" s="629"/>
      <c r="P214" s="629"/>
    </row>
    <row r="215" spans="1:16" ht="18.75">
      <c r="A215" s="629"/>
      <c r="B215" s="629"/>
      <c r="C215" s="688" t="s">
        <v>683</v>
      </c>
      <c r="D215" s="645" t="s">
        <v>532</v>
      </c>
      <c r="E215" s="629"/>
      <c r="F215" s="629"/>
      <c r="G215" s="629"/>
      <c r="H215" s="629"/>
      <c r="I215" s="629"/>
      <c r="J215" s="629"/>
      <c r="K215" s="629"/>
      <c r="L215" s="629"/>
      <c r="M215" s="629"/>
      <c r="N215" s="674"/>
      <c r="O215" s="629"/>
      <c r="P215" s="629"/>
    </row>
    <row r="216" spans="1:16" ht="15.75">
      <c r="A216" s="629"/>
      <c r="B216" s="629"/>
      <c r="C216" s="688" t="s">
        <v>513</v>
      </c>
      <c r="D216" s="645" t="s">
        <v>533</v>
      </c>
      <c r="E216" s="629"/>
      <c r="F216" s="629"/>
      <c r="G216" s="629"/>
      <c r="H216" s="629"/>
      <c r="I216" s="629"/>
      <c r="J216" s="629"/>
      <c r="K216" s="629"/>
      <c r="L216" s="629"/>
      <c r="M216" s="629"/>
      <c r="N216" s="674"/>
      <c r="O216" s="629"/>
      <c r="P216" s="629"/>
    </row>
    <row r="217" spans="1:16" ht="8.1" customHeight="1">
      <c r="A217" s="629"/>
      <c r="B217" s="629"/>
      <c r="C217" s="629"/>
      <c r="D217" s="672"/>
      <c r="E217" s="685"/>
      <c r="F217" s="629"/>
      <c r="G217" s="629"/>
      <c r="H217" s="629"/>
      <c r="I217" s="629"/>
      <c r="J217" s="629"/>
      <c r="K217" s="629"/>
      <c r="L217" s="629"/>
      <c r="M217" s="629"/>
      <c r="N217" s="674"/>
      <c r="O217" s="629"/>
      <c r="P217" s="629"/>
    </row>
    <row r="218" spans="1:16" ht="18.75">
      <c r="A218" s="629"/>
      <c r="B218" s="629"/>
      <c r="C218" s="688" t="s">
        <v>695</v>
      </c>
      <c r="D218" s="725">
        <v>0.74</v>
      </c>
      <c r="E218" s="629"/>
      <c r="F218" s="629" t="s">
        <v>525</v>
      </c>
      <c r="G218" s="629"/>
      <c r="H218" s="629"/>
      <c r="I218" s="629"/>
      <c r="J218" s="629"/>
      <c r="K218" s="629"/>
      <c r="L218" s="629"/>
      <c r="M218" s="629"/>
      <c r="N218" s="674"/>
      <c r="O218" s="629"/>
      <c r="P218" s="629"/>
    </row>
    <row r="219" spans="1:16" ht="18.75">
      <c r="A219" s="629"/>
      <c r="B219" s="629"/>
      <c r="C219" s="688" t="s">
        <v>685</v>
      </c>
      <c r="D219" s="725">
        <v>0.35</v>
      </c>
      <c r="E219" s="629"/>
      <c r="F219" s="629" t="s">
        <v>525</v>
      </c>
      <c r="G219" s="629"/>
      <c r="H219" s="629"/>
      <c r="I219" s="629"/>
      <c r="J219" s="629"/>
      <c r="K219" s="629"/>
      <c r="L219" s="629"/>
      <c r="M219" s="629"/>
      <c r="N219" s="674"/>
      <c r="O219" s="629"/>
      <c r="P219" s="629"/>
    </row>
    <row r="220" spans="1:16" ht="8.25" customHeight="1">
      <c r="A220" s="629"/>
      <c r="B220" s="629"/>
      <c r="C220" s="688"/>
      <c r="D220" s="725"/>
      <c r="E220" s="629"/>
      <c r="F220" s="629"/>
      <c r="G220" s="629"/>
      <c r="H220" s="629"/>
      <c r="I220" s="629"/>
      <c r="J220" s="629"/>
      <c r="K220" s="629"/>
      <c r="L220" s="629"/>
      <c r="M220" s="629"/>
      <c r="N220" s="674"/>
      <c r="O220" s="629"/>
      <c r="P220" s="629"/>
    </row>
    <row r="221" spans="1:16" ht="18.75">
      <c r="A221" s="629"/>
      <c r="B221" s="629"/>
      <c r="C221" s="688" t="s">
        <v>683</v>
      </c>
      <c r="D221" s="725">
        <v>10</v>
      </c>
      <c r="E221" s="645" t="s">
        <v>440</v>
      </c>
      <c r="F221" s="629" t="s">
        <v>525</v>
      </c>
      <c r="G221" s="629"/>
      <c r="H221" s="629"/>
      <c r="I221" s="629"/>
      <c r="J221" s="629"/>
      <c r="K221" s="629"/>
      <c r="L221" s="629"/>
      <c r="M221" s="629"/>
      <c r="N221" s="674"/>
      <c r="O221" s="629"/>
      <c r="P221" s="629"/>
    </row>
    <row r="222" spans="1:16" ht="15.75">
      <c r="A222" s="629"/>
      <c r="B222" s="629"/>
      <c r="C222" s="688" t="s">
        <v>513</v>
      </c>
      <c r="D222" s="733">
        <v>3.2</v>
      </c>
      <c r="E222" s="645" t="s">
        <v>535</v>
      </c>
      <c r="F222" s="629" t="s">
        <v>544</v>
      </c>
      <c r="G222" s="629"/>
      <c r="H222" s="629"/>
      <c r="I222" s="629"/>
      <c r="J222" s="629"/>
      <c r="K222" s="629"/>
      <c r="L222" s="629"/>
      <c r="M222" s="629"/>
      <c r="N222" s="674"/>
      <c r="O222" s="629"/>
      <c r="P222" s="629"/>
    </row>
    <row r="223" spans="1:16" ht="15" customHeight="1">
      <c r="A223" s="629"/>
      <c r="B223" s="629"/>
      <c r="C223" s="629"/>
      <c r="D223" s="629"/>
      <c r="E223" s="629"/>
      <c r="F223" s="645"/>
      <c r="G223" s="629"/>
      <c r="H223" s="629"/>
      <c r="I223" s="629"/>
      <c r="J223" s="629"/>
      <c r="K223" s="629"/>
      <c r="L223" s="629"/>
      <c r="M223" s="629"/>
      <c r="N223" s="674"/>
      <c r="O223" s="629"/>
      <c r="P223" s="629"/>
    </row>
    <row r="224" spans="1:16" ht="18.75">
      <c r="A224" s="629"/>
      <c r="B224" s="629"/>
      <c r="C224" s="691" t="s">
        <v>696</v>
      </c>
      <c r="D224" s="723">
        <f>$D$218*0.0032*(($D$221/5)^1.3)/((D222/2)^1.4)</f>
        <v>3.0196229445851866E-3</v>
      </c>
      <c r="E224" s="693" t="s">
        <v>439</v>
      </c>
      <c r="F224" s="694"/>
      <c r="G224" s="629"/>
      <c r="H224" s="629"/>
      <c r="I224" s="629"/>
      <c r="J224" s="629"/>
      <c r="K224" s="629"/>
      <c r="L224" s="629"/>
      <c r="M224" s="629"/>
      <c r="N224" s="674"/>
      <c r="O224" s="629"/>
      <c r="P224" s="629"/>
    </row>
    <row r="225" spans="1:16" ht="15.75">
      <c r="A225" s="629"/>
      <c r="B225" s="629"/>
      <c r="C225" s="734"/>
      <c r="D225" s="723"/>
      <c r="E225" s="735"/>
      <c r="F225" s="694"/>
      <c r="G225" s="629"/>
      <c r="H225" s="629"/>
      <c r="I225" s="629"/>
      <c r="J225" s="629"/>
      <c r="K225" s="629"/>
      <c r="L225" s="629"/>
      <c r="M225" s="629"/>
      <c r="N225" s="674"/>
      <c r="O225" s="629"/>
      <c r="P225" s="629"/>
    </row>
    <row r="226" spans="1:16" ht="15" customHeight="1">
      <c r="A226" s="629"/>
      <c r="B226" s="686"/>
      <c r="C226" s="691" t="s">
        <v>687</v>
      </c>
      <c r="D226" s="723">
        <f>$D$219*0.0032*(($D$221/5)^1.3)/((D222/2)^1.4)</f>
        <v>1.4282000413578587E-3</v>
      </c>
      <c r="E226" s="693" t="s">
        <v>439</v>
      </c>
      <c r="F226" s="629"/>
      <c r="G226" s="629"/>
      <c r="H226" s="629"/>
      <c r="I226" s="629"/>
      <c r="J226" s="629"/>
      <c r="K226" s="629"/>
      <c r="L226" s="629"/>
      <c r="M226" s="629"/>
      <c r="N226" s="674"/>
      <c r="O226" s="629"/>
      <c r="P226" s="629"/>
    </row>
    <row r="227" spans="1:16" ht="12" customHeight="1">
      <c r="A227" s="629"/>
      <c r="B227" s="686"/>
      <c r="C227" s="686"/>
      <c r="D227" s="686"/>
      <c r="E227" s="724"/>
      <c r="F227" s="629"/>
      <c r="G227" s="629"/>
      <c r="H227" s="629"/>
      <c r="I227" s="629"/>
      <c r="J227" s="629"/>
      <c r="K227" s="629"/>
      <c r="L227" s="629"/>
      <c r="M227" s="629"/>
      <c r="N227" s="674"/>
      <c r="O227" s="629"/>
      <c r="P227" s="629"/>
    </row>
    <row r="228" spans="1:16" ht="18.75">
      <c r="A228" s="629"/>
      <c r="B228" s="629" t="s">
        <v>697</v>
      </c>
      <c r="C228" s="686"/>
      <c r="D228" s="696"/>
      <c r="E228" s="698"/>
      <c r="F228" s="696"/>
      <c r="G228" s="629"/>
      <c r="H228" s="629"/>
      <c r="I228" s="629"/>
      <c r="J228" s="629"/>
      <c r="K228" s="629"/>
      <c r="L228" s="629"/>
      <c r="M228" s="629"/>
      <c r="N228" s="674"/>
      <c r="O228" s="629"/>
      <c r="P228" s="629"/>
    </row>
    <row r="229" spans="1:16" ht="8.1" customHeight="1">
      <c r="A229" s="629"/>
      <c r="B229" s="629"/>
      <c r="C229" s="686"/>
      <c r="D229" s="696"/>
      <c r="E229" s="698"/>
      <c r="F229" s="696"/>
      <c r="G229" s="629"/>
      <c r="H229" s="629"/>
      <c r="I229" s="629"/>
      <c r="J229" s="629"/>
      <c r="K229" s="629"/>
      <c r="L229" s="629"/>
      <c r="M229" s="629"/>
      <c r="N229" s="674"/>
      <c r="O229" s="629"/>
      <c r="P229" s="629"/>
    </row>
    <row r="230" spans="1:16" ht="18.75">
      <c r="A230" s="629"/>
      <c r="B230" s="629"/>
      <c r="C230" s="686" t="s">
        <v>537</v>
      </c>
      <c r="D230" s="645" t="s">
        <v>676</v>
      </c>
      <c r="E230" s="672"/>
      <c r="F230" s="696"/>
      <c r="G230" s="715"/>
      <c r="H230" s="629"/>
      <c r="I230" s="629"/>
      <c r="J230" s="629"/>
      <c r="K230" s="629"/>
      <c r="L230" s="629"/>
      <c r="M230" s="629"/>
      <c r="N230" s="674"/>
      <c r="O230" s="629"/>
      <c r="P230" s="629"/>
    </row>
    <row r="231" spans="1:16" ht="8.1" customHeight="1">
      <c r="A231" s="629"/>
      <c r="B231" s="629"/>
      <c r="C231" s="686"/>
      <c r="D231" s="686"/>
      <c r="E231" s="686"/>
      <c r="F231" s="698"/>
      <c r="G231" s="696"/>
      <c r="H231" s="629"/>
      <c r="I231" s="629"/>
      <c r="J231" s="629"/>
      <c r="K231" s="629"/>
      <c r="L231" s="629"/>
      <c r="M231" s="629"/>
      <c r="N231" s="674"/>
      <c r="O231" s="629"/>
      <c r="P231" s="629"/>
    </row>
    <row r="232" spans="1:16" ht="18.75">
      <c r="A232" s="629"/>
      <c r="B232" s="686" t="s">
        <v>510</v>
      </c>
      <c r="C232" s="686" t="s">
        <v>698</v>
      </c>
      <c r="D232" s="724">
        <f>D224</f>
        <v>3.0196229445851866E-3</v>
      </c>
      <c r="E232" s="629" t="s">
        <v>439</v>
      </c>
      <c r="F232" s="698"/>
      <c r="G232" s="629"/>
      <c r="H232" s="629"/>
      <c r="I232" s="629"/>
      <c r="J232" s="629"/>
      <c r="K232" s="629"/>
      <c r="L232" s="629"/>
      <c r="M232" s="629"/>
      <c r="N232" s="674"/>
      <c r="O232" s="629"/>
      <c r="P232" s="629"/>
    </row>
    <row r="233" spans="1:16" ht="18.75">
      <c r="A233" s="629"/>
      <c r="B233" s="686"/>
      <c r="C233" s="686" t="s">
        <v>699</v>
      </c>
      <c r="D233" s="724">
        <f>D226</f>
        <v>1.4282000413578587E-3</v>
      </c>
      <c r="E233" s="629" t="s">
        <v>439</v>
      </c>
      <c r="F233" s="698"/>
      <c r="G233" s="629"/>
      <c r="H233" s="629"/>
      <c r="I233" s="629"/>
      <c r="J233" s="629"/>
      <c r="K233" s="629"/>
      <c r="L233" s="629"/>
      <c r="M233" s="629"/>
      <c r="N233" s="674"/>
      <c r="O233" s="629"/>
      <c r="P233" s="629"/>
    </row>
    <row r="234" spans="1:16" ht="9" customHeight="1">
      <c r="A234" s="629"/>
      <c r="B234" s="686"/>
      <c r="C234" s="686"/>
      <c r="D234" s="724"/>
      <c r="E234" s="629"/>
      <c r="F234" s="698"/>
      <c r="G234" s="629"/>
      <c r="H234" s="629"/>
      <c r="I234" s="629"/>
      <c r="J234" s="629"/>
      <c r="K234" s="629"/>
      <c r="L234" s="629"/>
      <c r="M234" s="629"/>
      <c r="N234" s="674"/>
      <c r="O234" s="629"/>
      <c r="P234" s="629"/>
    </row>
    <row r="235" spans="1:16" ht="18.75">
      <c r="A235" s="629"/>
      <c r="B235" s="629"/>
      <c r="C235" s="686" t="s">
        <v>692</v>
      </c>
      <c r="D235" s="699">
        <f>$E$74</f>
        <v>2000000</v>
      </c>
      <c r="E235" s="629" t="s">
        <v>271</v>
      </c>
      <c r="F235" s="629"/>
      <c r="G235" s="629"/>
      <c r="H235" s="629"/>
      <c r="I235" s="629"/>
      <c r="J235" s="629"/>
      <c r="K235" s="629"/>
      <c r="L235" s="629"/>
      <c r="M235" s="629"/>
      <c r="N235" s="674"/>
      <c r="O235" s="629"/>
      <c r="P235" s="629"/>
    </row>
    <row r="236" spans="1:16" ht="15.75">
      <c r="A236" s="629"/>
      <c r="B236" s="629"/>
      <c r="C236" s="645"/>
      <c r="D236" s="672"/>
      <c r="E236" s="696"/>
      <c r="F236" s="696"/>
      <c r="G236" s="629"/>
      <c r="H236" s="629"/>
      <c r="I236" s="629"/>
      <c r="J236" s="629"/>
      <c r="K236" s="629"/>
      <c r="L236" s="629"/>
      <c r="M236" s="629"/>
      <c r="N236" s="674"/>
      <c r="O236" s="629"/>
      <c r="P236" s="629"/>
    </row>
    <row r="237" spans="1:16" ht="15.75">
      <c r="A237" s="629"/>
      <c r="B237" s="629"/>
      <c r="C237" s="718" t="s">
        <v>585</v>
      </c>
      <c r="D237" s="709">
        <f>D232*D235/2000</f>
        <v>3.0196229445851865</v>
      </c>
      <c r="E237" s="710" t="s">
        <v>538</v>
      </c>
      <c r="F237" s="719"/>
      <c r="G237" s="629"/>
      <c r="H237" s="629"/>
      <c r="I237" s="629"/>
      <c r="J237" s="629"/>
      <c r="K237" s="629"/>
      <c r="L237" s="629"/>
      <c r="M237" s="629"/>
      <c r="N237" s="674"/>
      <c r="O237" s="629"/>
      <c r="P237" s="629"/>
    </row>
    <row r="238" spans="1:16" ht="15.75">
      <c r="A238" s="629"/>
      <c r="B238" s="629"/>
      <c r="C238" s="679"/>
      <c r="D238" s="720"/>
      <c r="E238" s="639"/>
      <c r="F238" s="696"/>
      <c r="G238" s="629"/>
      <c r="H238" s="629"/>
      <c r="I238" s="629"/>
      <c r="J238" s="629"/>
      <c r="K238" s="629"/>
      <c r="L238" s="629"/>
      <c r="M238" s="629"/>
      <c r="N238" s="674"/>
      <c r="O238" s="629"/>
      <c r="P238" s="629"/>
    </row>
    <row r="239" spans="1:16" ht="17.25">
      <c r="A239" s="629"/>
      <c r="B239" s="629"/>
      <c r="C239" s="718" t="s">
        <v>666</v>
      </c>
      <c r="D239" s="709">
        <f>D233*D235/2000</f>
        <v>1.4282000413578586</v>
      </c>
      <c r="E239" s="710" t="s">
        <v>538</v>
      </c>
      <c r="F239" s="719"/>
      <c r="G239" s="629"/>
      <c r="H239" s="629"/>
      <c r="I239" s="629"/>
      <c r="J239" s="629"/>
      <c r="K239" s="629"/>
      <c r="L239" s="629"/>
      <c r="M239" s="629"/>
      <c r="N239" s="674"/>
      <c r="O239" s="629"/>
      <c r="P239" s="629"/>
    </row>
    <row r="240" spans="1:16" ht="15" customHeight="1">
      <c r="A240" s="629"/>
      <c r="B240" s="629"/>
      <c r="C240" s="629"/>
      <c r="D240" s="679"/>
      <c r="E240" s="712"/>
      <c r="F240" s="639"/>
      <c r="G240" s="696"/>
      <c r="H240" s="629"/>
      <c r="I240" s="629"/>
      <c r="J240" s="629"/>
      <c r="K240" s="629"/>
      <c r="L240" s="629"/>
      <c r="M240" s="629"/>
      <c r="N240" s="674"/>
      <c r="O240" s="629"/>
      <c r="P240" s="629"/>
    </row>
    <row r="241" spans="1:16" ht="15" customHeight="1">
      <c r="A241" s="684" t="s">
        <v>552</v>
      </c>
      <c r="B241" s="441" t="s">
        <v>553</v>
      </c>
      <c r="C241" s="629"/>
      <c r="D241" s="629"/>
      <c r="E241" s="696"/>
      <c r="F241" s="696"/>
      <c r="G241" s="629"/>
      <c r="H241" s="629"/>
      <c r="I241" s="629"/>
      <c r="J241" s="629"/>
      <c r="K241" s="629"/>
      <c r="L241" s="629"/>
      <c r="M241" s="629"/>
      <c r="N241" s="674"/>
      <c r="O241" s="629"/>
      <c r="P241" s="629"/>
    </row>
    <row r="242" spans="1:16" ht="9" customHeight="1">
      <c r="A242" s="629"/>
      <c r="B242" s="629"/>
      <c r="C242" s="645"/>
      <c r="D242" s="672"/>
      <c r="E242" s="696"/>
      <c r="F242" s="696"/>
      <c r="G242" s="629"/>
      <c r="H242" s="629"/>
      <c r="I242" s="629"/>
      <c r="J242" s="629"/>
      <c r="K242" s="629"/>
      <c r="L242" s="629"/>
      <c r="M242" s="629"/>
      <c r="N242" s="674"/>
      <c r="O242" s="629"/>
      <c r="P242" s="629"/>
    </row>
    <row r="243" spans="1:16" ht="18.75">
      <c r="A243" s="629"/>
      <c r="B243" s="629" t="s">
        <v>700</v>
      </c>
      <c r="C243" s="629"/>
      <c r="D243" s="629"/>
      <c r="E243" s="629"/>
      <c r="F243" s="629"/>
      <c r="G243" s="629"/>
      <c r="H243" s="629"/>
      <c r="I243" s="629"/>
      <c r="J243" s="629"/>
      <c r="K243" s="629"/>
      <c r="L243" s="629"/>
      <c r="M243" s="629"/>
      <c r="N243" s="674"/>
      <c r="O243" s="629"/>
      <c r="P243" s="629"/>
    </row>
    <row r="244" spans="1:16" ht="9.75" customHeight="1">
      <c r="A244" s="629"/>
      <c r="B244" s="629"/>
      <c r="C244" s="629"/>
      <c r="D244" s="629"/>
      <c r="E244" s="629"/>
      <c r="F244" s="629"/>
      <c r="G244" s="629"/>
      <c r="H244" s="629"/>
      <c r="I244" s="629"/>
      <c r="J244" s="629"/>
      <c r="K244" s="629"/>
      <c r="L244" s="629"/>
      <c r="M244" s="629"/>
      <c r="N244" s="674"/>
      <c r="O244" s="629"/>
      <c r="P244" s="629"/>
    </row>
    <row r="245" spans="1:16" ht="18.75">
      <c r="A245" s="629"/>
      <c r="B245" s="629"/>
      <c r="C245" s="686" t="s">
        <v>701</v>
      </c>
      <c r="D245" s="687" t="s">
        <v>554</v>
      </c>
      <c r="E245" s="685"/>
      <c r="F245" s="629"/>
      <c r="G245" s="629"/>
      <c r="H245" s="629"/>
      <c r="I245" s="629"/>
      <c r="J245" s="629"/>
      <c r="K245" s="629"/>
      <c r="L245" s="629"/>
      <c r="M245" s="629"/>
      <c r="N245" s="674"/>
      <c r="O245" s="629"/>
      <c r="P245" s="629"/>
    </row>
    <row r="246" spans="1:16" ht="8.1" customHeight="1">
      <c r="A246" s="629"/>
      <c r="B246" s="629"/>
      <c r="C246" s="629"/>
      <c r="D246" s="629"/>
      <c r="E246" s="629"/>
      <c r="F246" s="629"/>
      <c r="G246" s="629"/>
      <c r="H246" s="629"/>
      <c r="I246" s="629"/>
      <c r="J246" s="629"/>
      <c r="K246" s="629"/>
      <c r="L246" s="629"/>
      <c r="M246" s="629"/>
      <c r="N246" s="674"/>
      <c r="O246" s="629"/>
      <c r="P246" s="629"/>
    </row>
    <row r="247" spans="1:16" s="444" customFormat="1" ht="18.75">
      <c r="A247" s="629"/>
      <c r="B247" s="686" t="s">
        <v>510</v>
      </c>
      <c r="C247" s="736" t="s">
        <v>702</v>
      </c>
      <c r="D247" s="714" t="s">
        <v>450</v>
      </c>
      <c r="E247" s="737"/>
      <c r="F247" s="714" t="s">
        <v>446</v>
      </c>
      <c r="G247" s="714"/>
      <c r="H247" s="714"/>
      <c r="I247" s="714"/>
      <c r="J247" s="714"/>
      <c r="K247" s="714"/>
      <c r="L247" s="714"/>
      <c r="M247" s="714"/>
      <c r="N247" s="714"/>
      <c r="O247" s="714"/>
      <c r="P247" s="714"/>
    </row>
    <row r="248" spans="1:16" s="444" customFormat="1" ht="15.75">
      <c r="A248" s="629"/>
      <c r="B248" s="629"/>
      <c r="C248" s="736" t="s">
        <v>556</v>
      </c>
      <c r="D248" s="714" t="s">
        <v>442</v>
      </c>
      <c r="E248" s="738"/>
      <c r="F248" s="739"/>
      <c r="G248" s="714"/>
      <c r="H248" s="714"/>
      <c r="I248" s="714"/>
      <c r="J248" s="714"/>
      <c r="K248" s="714"/>
      <c r="L248" s="714"/>
      <c r="M248" s="714"/>
      <c r="N248" s="714"/>
      <c r="O248" s="714"/>
      <c r="P248" s="714"/>
    </row>
    <row r="249" spans="1:16" s="444" customFormat="1" ht="15.75">
      <c r="A249" s="629"/>
      <c r="B249" s="629"/>
      <c r="C249" s="736" t="s">
        <v>557</v>
      </c>
      <c r="D249" s="714" t="s">
        <v>443</v>
      </c>
      <c r="E249" s="740"/>
      <c r="F249" s="714"/>
      <c r="G249" s="714"/>
      <c r="H249" s="714"/>
      <c r="I249" s="714"/>
      <c r="J249" s="714"/>
      <c r="K249" s="714"/>
      <c r="L249" s="714"/>
      <c r="M249" s="714"/>
      <c r="N249" s="714"/>
      <c r="O249" s="714"/>
      <c r="P249" s="714"/>
    </row>
    <row r="250" spans="1:16" s="444" customFormat="1" ht="28.5" customHeight="1">
      <c r="A250" s="629"/>
      <c r="B250" s="629"/>
      <c r="C250" s="741" t="s">
        <v>558</v>
      </c>
      <c r="D250" s="804" t="s">
        <v>444</v>
      </c>
      <c r="E250" s="804"/>
      <c r="F250" s="804"/>
      <c r="G250" s="804"/>
      <c r="H250" s="804"/>
      <c r="I250" s="804"/>
      <c r="J250" s="714"/>
      <c r="K250" s="714"/>
      <c r="L250" s="714"/>
      <c r="M250" s="714"/>
      <c r="N250" s="714"/>
      <c r="O250" s="714"/>
      <c r="P250" s="714"/>
    </row>
    <row r="251" spans="1:16" s="444" customFormat="1" ht="15.75">
      <c r="A251" s="629"/>
      <c r="B251" s="629"/>
      <c r="C251" s="742"/>
      <c r="D251" s="714"/>
      <c r="E251" s="740"/>
      <c r="F251" s="714"/>
      <c r="G251" s="714"/>
      <c r="H251" s="714"/>
      <c r="I251" s="714"/>
      <c r="J251" s="714"/>
      <c r="K251" s="714"/>
      <c r="L251" s="714"/>
      <c r="M251" s="714"/>
      <c r="N251" s="714"/>
      <c r="O251" s="714"/>
      <c r="P251" s="714"/>
    </row>
    <row r="252" spans="1:16" s="444" customFormat="1" ht="15.75">
      <c r="A252" s="629"/>
      <c r="B252" s="629"/>
      <c r="C252" s="736" t="s">
        <v>555</v>
      </c>
      <c r="D252" s="737">
        <f>1.7*D253/1.5*(365-D254)/235*D255/15</f>
        <v>37.949787234042553</v>
      </c>
      <c r="E252" s="714" t="s">
        <v>446</v>
      </c>
      <c r="F252" s="714"/>
      <c r="G252" s="714"/>
      <c r="H252" s="714"/>
      <c r="I252" s="714"/>
      <c r="J252" s="714"/>
      <c r="K252" s="714"/>
      <c r="L252" s="714"/>
      <c r="M252" s="714"/>
      <c r="N252" s="714"/>
      <c r="O252" s="714"/>
      <c r="P252" s="714"/>
    </row>
    <row r="253" spans="1:16" s="444" customFormat="1" ht="15.75">
      <c r="A253" s="629"/>
      <c r="B253" s="629"/>
      <c r="C253" s="736" t="s">
        <v>556</v>
      </c>
      <c r="D253" s="738">
        <v>9</v>
      </c>
      <c r="E253" s="739" t="s">
        <v>441</v>
      </c>
      <c r="F253" s="714"/>
      <c r="G253" s="714"/>
      <c r="H253" s="714"/>
      <c r="I253" s="714"/>
      <c r="J253" s="714"/>
      <c r="K253" s="714"/>
      <c r="L253" s="714"/>
      <c r="M253" s="714"/>
      <c r="N253" s="714"/>
      <c r="O253" s="714"/>
      <c r="P253" s="714"/>
    </row>
    <row r="254" spans="1:16" s="444" customFormat="1" ht="15.75">
      <c r="A254" s="629"/>
      <c r="B254" s="629"/>
      <c r="C254" s="736" t="s">
        <v>557</v>
      </c>
      <c r="D254" s="740">
        <v>150</v>
      </c>
      <c r="E254" s="714" t="s">
        <v>445</v>
      </c>
      <c r="F254" s="714"/>
      <c r="G254" s="714"/>
      <c r="H254" s="714"/>
      <c r="I254" s="714"/>
      <c r="J254" s="714"/>
      <c r="K254" s="714"/>
      <c r="L254" s="714"/>
      <c r="M254" s="714"/>
      <c r="N254" s="714"/>
      <c r="O254" s="714"/>
      <c r="P254" s="714"/>
    </row>
    <row r="255" spans="1:16" s="444" customFormat="1" ht="15.75">
      <c r="A255" s="629"/>
      <c r="B255" s="629"/>
      <c r="C255" s="736" t="s">
        <v>558</v>
      </c>
      <c r="D255" s="740">
        <v>61</v>
      </c>
      <c r="E255" s="714" t="s">
        <v>441</v>
      </c>
      <c r="F255" s="714"/>
      <c r="G255" s="714"/>
      <c r="H255" s="714"/>
      <c r="I255" s="714"/>
      <c r="J255" s="714"/>
      <c r="K255" s="714"/>
      <c r="L255" s="714"/>
      <c r="M255" s="714"/>
      <c r="N255" s="714"/>
      <c r="O255" s="714"/>
      <c r="P255" s="714"/>
    </row>
    <row r="256" spans="1:16" s="444" customFormat="1" ht="15.75">
      <c r="A256" s="629"/>
      <c r="B256" s="629"/>
      <c r="C256" s="742"/>
      <c r="D256" s="714"/>
      <c r="E256" s="740"/>
      <c r="F256" s="714"/>
      <c r="G256" s="714"/>
      <c r="H256" s="714"/>
      <c r="I256" s="714"/>
      <c r="J256" s="714"/>
      <c r="K256" s="714"/>
      <c r="L256" s="714"/>
      <c r="M256" s="714"/>
      <c r="N256" s="714"/>
      <c r="O256" s="714"/>
      <c r="P256" s="714"/>
    </row>
    <row r="257" spans="1:16" s="444" customFormat="1" ht="15.75">
      <c r="A257" s="629"/>
      <c r="B257" s="629"/>
      <c r="C257" s="742"/>
      <c r="D257" s="743" t="s">
        <v>449</v>
      </c>
      <c r="E257" s="740">
        <v>50</v>
      </c>
      <c r="F257" s="714" t="s">
        <v>441</v>
      </c>
      <c r="G257" s="714"/>
      <c r="H257" s="714"/>
      <c r="I257" s="714"/>
      <c r="J257" s="714"/>
      <c r="K257" s="714"/>
      <c r="L257" s="714"/>
      <c r="M257" s="714"/>
      <c r="N257" s="714"/>
      <c r="O257" s="714"/>
      <c r="P257" s="714"/>
    </row>
    <row r="258" spans="1:16" s="444" customFormat="1" ht="15.75">
      <c r="A258" s="629"/>
      <c r="B258" s="629"/>
      <c r="C258" s="742"/>
      <c r="D258" s="743"/>
      <c r="E258" s="740"/>
      <c r="F258" s="714"/>
      <c r="G258" s="714"/>
      <c r="H258" s="714"/>
      <c r="I258" s="714"/>
      <c r="J258" s="714"/>
      <c r="K258" s="714"/>
      <c r="L258" s="714"/>
      <c r="M258" s="714"/>
      <c r="N258" s="714"/>
      <c r="O258" s="714"/>
      <c r="P258" s="714"/>
    </row>
    <row r="259" spans="1:16" s="444" customFormat="1" ht="15.75">
      <c r="A259" s="629"/>
      <c r="B259" s="629"/>
      <c r="C259" s="742"/>
      <c r="D259" s="742" t="s">
        <v>451</v>
      </c>
      <c r="E259" s="740">
        <v>8</v>
      </c>
      <c r="F259" s="714" t="s">
        <v>452</v>
      </c>
      <c r="G259" s="714"/>
      <c r="H259" s="714"/>
      <c r="I259" s="714"/>
      <c r="J259" s="714"/>
      <c r="K259" s="714"/>
      <c r="L259" s="714"/>
      <c r="M259" s="714"/>
      <c r="N259" s="714"/>
      <c r="O259" s="714"/>
      <c r="P259" s="714"/>
    </row>
    <row r="260" spans="1:16" s="444" customFormat="1" ht="15.75">
      <c r="A260" s="629"/>
      <c r="B260" s="629"/>
      <c r="C260" s="742"/>
      <c r="D260" s="744"/>
      <c r="E260" s="740"/>
      <c r="F260" s="714"/>
      <c r="G260" s="714"/>
      <c r="H260" s="714"/>
      <c r="I260" s="714"/>
      <c r="J260" s="714"/>
      <c r="K260" s="714"/>
      <c r="L260" s="714"/>
      <c r="M260" s="714"/>
      <c r="N260" s="714"/>
      <c r="O260" s="714"/>
      <c r="P260" s="714"/>
    </row>
    <row r="261" spans="1:16" s="444" customFormat="1" ht="15.75">
      <c r="A261" s="629"/>
      <c r="B261" s="629"/>
      <c r="C261" s="714"/>
      <c r="D261" s="742"/>
      <c r="E261" s="742" t="s">
        <v>447</v>
      </c>
      <c r="F261" s="740">
        <v>70</v>
      </c>
      <c r="G261" s="714" t="s">
        <v>441</v>
      </c>
      <c r="H261" s="714"/>
      <c r="I261" s="714"/>
      <c r="J261" s="714"/>
      <c r="K261" s="714"/>
      <c r="L261" s="714"/>
      <c r="M261" s="714"/>
      <c r="N261" s="714"/>
      <c r="O261" s="714"/>
      <c r="P261" s="714"/>
    </row>
    <row r="262" spans="1:16" s="444" customFormat="1" ht="15.75">
      <c r="A262" s="629"/>
      <c r="B262" s="629"/>
      <c r="C262" s="742"/>
      <c r="D262" s="714"/>
      <c r="E262" s="740"/>
      <c r="F262" s="714"/>
      <c r="G262" s="714"/>
      <c r="H262" s="714"/>
      <c r="I262" s="714"/>
      <c r="J262" s="714"/>
      <c r="K262" s="714"/>
      <c r="L262" s="714"/>
      <c r="M262" s="714"/>
      <c r="N262" s="714"/>
      <c r="O262" s="714"/>
      <c r="P262" s="714"/>
    </row>
    <row r="263" spans="1:16" s="444" customFormat="1" ht="15.75">
      <c r="A263" s="629"/>
      <c r="B263" s="629"/>
      <c r="C263" s="742"/>
      <c r="D263" s="742" t="s">
        <v>448</v>
      </c>
      <c r="E263" s="745">
        <f>+D252*(100-F261)/100</f>
        <v>11.384936170212766</v>
      </c>
      <c r="F263" s="714" t="s">
        <v>559</v>
      </c>
      <c r="G263" s="714"/>
      <c r="H263" s="714"/>
      <c r="I263" s="714"/>
      <c r="J263" s="714"/>
      <c r="K263" s="714"/>
      <c r="L263" s="714"/>
      <c r="M263" s="714"/>
      <c r="N263" s="714"/>
      <c r="O263" s="714"/>
      <c r="P263" s="714"/>
    </row>
    <row r="264" spans="1:16" s="444" customFormat="1" ht="15.75">
      <c r="A264" s="629"/>
      <c r="B264" s="629"/>
      <c r="C264" s="742"/>
      <c r="D264" s="742" t="s">
        <v>448</v>
      </c>
      <c r="E264" s="745">
        <f>+D252*E257/100*(100-F261)/100</f>
        <v>5.6924680851063831</v>
      </c>
      <c r="F264" s="714" t="s">
        <v>560</v>
      </c>
      <c r="G264" s="714"/>
      <c r="H264" s="714"/>
      <c r="I264" s="714"/>
      <c r="J264" s="714"/>
      <c r="K264" s="714"/>
      <c r="L264" s="714"/>
      <c r="M264" s="714"/>
      <c r="N264" s="714"/>
      <c r="O264" s="714"/>
      <c r="P264" s="714"/>
    </row>
    <row r="265" spans="1:16" ht="15" customHeight="1" thickBot="1">
      <c r="A265" s="629"/>
      <c r="B265" s="629"/>
      <c r="C265" s="629"/>
      <c r="D265" s="629"/>
      <c r="E265" s="629"/>
      <c r="F265" s="645"/>
      <c r="G265" s="629"/>
      <c r="H265" s="629"/>
      <c r="I265" s="629"/>
      <c r="J265" s="629"/>
      <c r="K265" s="629"/>
      <c r="L265" s="629"/>
      <c r="M265" s="629"/>
      <c r="N265" s="674"/>
      <c r="O265" s="629"/>
      <c r="P265" s="629"/>
    </row>
    <row r="266" spans="1:16" s="442" customFormat="1" ht="18" thickBot="1">
      <c r="A266" s="639"/>
      <c r="B266" s="639"/>
      <c r="C266" s="675" t="s">
        <v>703</v>
      </c>
      <c r="D266" s="631">
        <f>E259*E263/2000</f>
        <v>4.5539744680851063E-2</v>
      </c>
      <c r="E266" s="633" t="s">
        <v>564</v>
      </c>
      <c r="F266" s="746"/>
      <c r="G266" s="747"/>
      <c r="H266" s="639"/>
      <c r="I266" s="639"/>
      <c r="J266" s="639"/>
      <c r="K266" s="639"/>
      <c r="L266" s="639"/>
      <c r="M266" s="639"/>
      <c r="N266" s="748"/>
      <c r="O266" s="639"/>
      <c r="P266" s="639"/>
    </row>
    <row r="267" spans="1:16" s="442" customFormat="1" ht="16.5" thickBot="1">
      <c r="A267" s="639"/>
      <c r="B267" s="639"/>
      <c r="C267" s="679"/>
      <c r="D267" s="637"/>
      <c r="E267" s="639"/>
      <c r="F267" s="749"/>
      <c r="G267" s="639"/>
      <c r="H267" s="639"/>
      <c r="I267" s="639"/>
      <c r="J267" s="639"/>
      <c r="K267" s="639"/>
      <c r="L267" s="639"/>
      <c r="M267" s="639"/>
      <c r="N267" s="748"/>
      <c r="O267" s="639"/>
      <c r="P267" s="639"/>
    </row>
    <row r="268" spans="1:16" s="442" customFormat="1" ht="15" customHeight="1" thickBot="1">
      <c r="A268" s="639"/>
      <c r="B268" s="679"/>
      <c r="C268" s="675" t="s">
        <v>704</v>
      </c>
      <c r="D268" s="631">
        <f>E259*E264/2000</f>
        <v>2.2769872340425532E-2</v>
      </c>
      <c r="E268" s="633" t="s">
        <v>564</v>
      </c>
      <c r="F268" s="633"/>
      <c r="G268" s="747"/>
      <c r="H268" s="639"/>
      <c r="I268" s="639"/>
      <c r="J268" s="639"/>
      <c r="K268" s="639"/>
      <c r="L268" s="639"/>
      <c r="M268" s="639"/>
      <c r="N268" s="748"/>
      <c r="O268" s="639"/>
      <c r="P268" s="639"/>
    </row>
    <row r="269" spans="1:16" ht="12" customHeight="1">
      <c r="A269" s="629"/>
      <c r="B269" s="686"/>
      <c r="C269" s="686"/>
      <c r="D269" s="686"/>
      <c r="E269" s="724"/>
      <c r="F269" s="629"/>
      <c r="G269" s="629"/>
      <c r="H269" s="629"/>
      <c r="I269" s="629"/>
      <c r="J269" s="629"/>
      <c r="K269" s="629"/>
      <c r="L269" s="629"/>
      <c r="M269" s="629"/>
      <c r="N269" s="674"/>
      <c r="O269" s="629"/>
      <c r="P269" s="629"/>
    </row>
    <row r="270" spans="1:16" ht="15" customHeight="1">
      <c r="A270" s="684" t="s">
        <v>565</v>
      </c>
      <c r="B270" s="441" t="s">
        <v>566</v>
      </c>
      <c r="C270" s="629"/>
      <c r="D270" s="629"/>
      <c r="E270" s="696"/>
      <c r="F270" s="696"/>
      <c r="G270" s="629"/>
      <c r="H270" s="629"/>
      <c r="I270" s="629"/>
      <c r="J270" s="629"/>
      <c r="K270" s="629"/>
      <c r="L270" s="629"/>
      <c r="M270" s="629"/>
      <c r="N270" s="674"/>
      <c r="O270" s="629"/>
      <c r="P270" s="629"/>
    </row>
    <row r="271" spans="1:16" ht="9" customHeight="1">
      <c r="A271" s="629"/>
      <c r="B271" s="629"/>
      <c r="C271" s="645"/>
      <c r="D271" s="672"/>
      <c r="E271" s="696"/>
      <c r="F271" s="696"/>
      <c r="G271" s="629"/>
      <c r="H271" s="629"/>
      <c r="I271" s="629"/>
      <c r="J271" s="629"/>
      <c r="K271" s="629"/>
      <c r="L271" s="629"/>
      <c r="M271" s="629"/>
      <c r="N271" s="674"/>
      <c r="O271" s="629"/>
      <c r="P271" s="629"/>
    </row>
    <row r="272" spans="1:16" ht="18.75">
      <c r="A272" s="629"/>
      <c r="B272" s="629" t="s">
        <v>705</v>
      </c>
      <c r="C272" s="629"/>
      <c r="D272" s="629"/>
      <c r="E272" s="629"/>
      <c r="F272" s="629"/>
      <c r="G272" s="629"/>
      <c r="H272" s="629"/>
      <c r="I272" s="629"/>
      <c r="J272" s="629"/>
      <c r="K272" s="629"/>
      <c r="L272" s="629"/>
      <c r="M272" s="629"/>
      <c r="N272" s="674"/>
      <c r="O272" s="629"/>
      <c r="P272" s="629"/>
    </row>
    <row r="273" spans="1:16" ht="9.75" customHeight="1">
      <c r="A273" s="629"/>
      <c r="B273" s="629"/>
      <c r="C273" s="629"/>
      <c r="D273" s="629"/>
      <c r="E273" s="629"/>
      <c r="F273" s="629"/>
      <c r="G273" s="629"/>
      <c r="H273" s="629"/>
      <c r="I273" s="629"/>
      <c r="J273" s="629"/>
      <c r="K273" s="629"/>
      <c r="L273" s="629"/>
      <c r="M273" s="629"/>
      <c r="N273" s="674"/>
      <c r="O273" s="629"/>
      <c r="P273" s="629"/>
    </row>
    <row r="274" spans="1:16" ht="20.25">
      <c r="A274" s="629"/>
      <c r="B274" s="629"/>
      <c r="C274" s="686" t="s">
        <v>706</v>
      </c>
      <c r="D274" s="687" t="s">
        <v>707</v>
      </c>
      <c r="E274" s="685"/>
      <c r="F274" s="629"/>
      <c r="G274" s="629"/>
      <c r="H274" s="629"/>
      <c r="I274" s="629"/>
      <c r="J274" s="629"/>
      <c r="K274" s="629"/>
      <c r="L274" s="629"/>
      <c r="M274" s="629"/>
      <c r="N274" s="674"/>
      <c r="O274" s="629"/>
      <c r="P274" s="629"/>
    </row>
    <row r="275" spans="1:16" ht="8.1" customHeight="1">
      <c r="A275" s="629"/>
      <c r="B275" s="629"/>
      <c r="C275" s="629"/>
      <c r="D275" s="629"/>
      <c r="E275" s="629"/>
      <c r="F275" s="629"/>
      <c r="G275" s="629"/>
      <c r="H275" s="629"/>
      <c r="I275" s="629"/>
      <c r="J275" s="629"/>
      <c r="K275" s="629"/>
      <c r="L275" s="629"/>
      <c r="M275" s="629"/>
      <c r="N275" s="674"/>
      <c r="O275" s="629"/>
      <c r="P275" s="629"/>
    </row>
    <row r="276" spans="1:16" s="444" customFormat="1" ht="18.75">
      <c r="A276" s="629"/>
      <c r="B276" s="686" t="s">
        <v>510</v>
      </c>
      <c r="C276" s="736" t="s">
        <v>708</v>
      </c>
      <c r="D276" s="714" t="s">
        <v>568</v>
      </c>
      <c r="E276" s="737"/>
      <c r="F276" s="714" t="s">
        <v>446</v>
      </c>
      <c r="G276" s="714"/>
      <c r="H276" s="714"/>
      <c r="I276" s="714"/>
      <c r="J276" s="714"/>
      <c r="K276" s="714"/>
      <c r="L276" s="714"/>
      <c r="M276" s="714"/>
      <c r="N276" s="714"/>
      <c r="O276" s="714"/>
      <c r="P276" s="714"/>
    </row>
    <row r="277" spans="1:16" s="444" customFormat="1" ht="18.75">
      <c r="A277" s="629"/>
      <c r="B277" s="629"/>
      <c r="C277" s="736" t="s">
        <v>569</v>
      </c>
      <c r="D277" s="714" t="s">
        <v>709</v>
      </c>
      <c r="E277" s="738"/>
      <c r="F277" s="739"/>
      <c r="G277" s="714"/>
      <c r="H277" s="714"/>
      <c r="I277" s="714"/>
      <c r="J277" s="714"/>
      <c r="K277" s="714"/>
      <c r="L277" s="714"/>
      <c r="M277" s="714"/>
      <c r="N277" s="714"/>
      <c r="O277" s="714"/>
      <c r="P277" s="714"/>
    </row>
    <row r="278" spans="1:16" s="444" customFormat="1" ht="15.75">
      <c r="A278" s="629"/>
      <c r="B278" s="629"/>
      <c r="C278" s="742"/>
      <c r="D278" s="714"/>
      <c r="E278" s="740"/>
      <c r="F278" s="714"/>
      <c r="G278" s="714"/>
      <c r="H278" s="714"/>
      <c r="I278" s="714"/>
      <c r="J278" s="714"/>
      <c r="K278" s="714"/>
      <c r="L278" s="714"/>
      <c r="M278" s="714"/>
      <c r="N278" s="714"/>
      <c r="O278" s="714"/>
      <c r="P278" s="714"/>
    </row>
    <row r="279" spans="1:16" s="444" customFormat="1" ht="15.75">
      <c r="A279" s="629"/>
      <c r="B279" s="629"/>
      <c r="C279" s="736" t="s">
        <v>570</v>
      </c>
      <c r="D279" s="737">
        <v>5</v>
      </c>
      <c r="E279" s="714" t="s">
        <v>452</v>
      </c>
      <c r="F279" s="714"/>
      <c r="G279" s="714"/>
      <c r="H279" s="714"/>
      <c r="I279" s="714"/>
      <c r="J279" s="714"/>
      <c r="K279" s="714"/>
      <c r="L279" s="714"/>
      <c r="M279" s="714"/>
      <c r="N279" s="714"/>
      <c r="O279" s="714"/>
      <c r="P279" s="714"/>
    </row>
    <row r="280" spans="1:16" s="444" customFormat="1" ht="15.75">
      <c r="A280" s="629"/>
      <c r="B280" s="629"/>
      <c r="C280" s="742"/>
      <c r="D280" s="714"/>
      <c r="E280" s="740"/>
      <c r="F280" s="714"/>
      <c r="G280" s="714"/>
      <c r="H280" s="714"/>
      <c r="I280" s="714"/>
      <c r="J280" s="714"/>
      <c r="K280" s="714"/>
      <c r="L280" s="714"/>
      <c r="M280" s="714"/>
      <c r="N280" s="714"/>
      <c r="O280" s="714"/>
      <c r="P280" s="714"/>
    </row>
    <row r="281" spans="1:16" s="444" customFormat="1" ht="15.75">
      <c r="A281" s="629"/>
      <c r="B281" s="629"/>
      <c r="C281" s="742"/>
      <c r="D281" s="743" t="s">
        <v>449</v>
      </c>
      <c r="E281" s="740">
        <v>52</v>
      </c>
      <c r="F281" s="714" t="s">
        <v>441</v>
      </c>
      <c r="G281" s="714"/>
      <c r="H281" s="714"/>
      <c r="I281" s="714"/>
      <c r="J281" s="714"/>
      <c r="K281" s="714"/>
      <c r="L281" s="714"/>
      <c r="M281" s="714"/>
      <c r="N281" s="714"/>
      <c r="O281" s="714"/>
      <c r="P281" s="714"/>
    </row>
    <row r="282" spans="1:16" ht="15" customHeight="1" thickBot="1">
      <c r="A282" s="629"/>
      <c r="B282" s="629"/>
      <c r="C282" s="629"/>
      <c r="D282" s="629"/>
      <c r="E282" s="629"/>
      <c r="F282" s="645"/>
      <c r="G282" s="629"/>
      <c r="H282" s="629"/>
      <c r="I282" s="629"/>
      <c r="J282" s="629"/>
      <c r="K282" s="629"/>
      <c r="L282" s="629"/>
      <c r="M282" s="629"/>
      <c r="N282" s="674"/>
      <c r="O282" s="629"/>
      <c r="P282" s="629"/>
    </row>
    <row r="283" spans="1:16" s="442" customFormat="1" ht="18" thickBot="1">
      <c r="A283" s="639"/>
      <c r="B283" s="639"/>
      <c r="C283" s="675" t="s">
        <v>710</v>
      </c>
      <c r="D283" s="750">
        <f>0.000014*(D279*43560)^1.5/2000</f>
        <v>0.71151629907402769</v>
      </c>
      <c r="E283" s="633" t="s">
        <v>571</v>
      </c>
      <c r="F283" s="746"/>
      <c r="G283" s="747"/>
      <c r="H283" s="639"/>
      <c r="I283" s="639"/>
      <c r="J283" s="639"/>
      <c r="K283" s="639"/>
      <c r="L283" s="639"/>
      <c r="M283" s="639"/>
      <c r="N283" s="748"/>
      <c r="O283" s="639"/>
      <c r="P283" s="639"/>
    </row>
    <row r="284" spans="1:16" s="442" customFormat="1" ht="16.5" thickBot="1">
      <c r="A284" s="639"/>
      <c r="B284" s="639"/>
      <c r="C284" s="679"/>
      <c r="D284" s="712"/>
      <c r="E284" s="639"/>
      <c r="F284" s="749"/>
      <c r="G284" s="639"/>
      <c r="H284" s="639"/>
      <c r="I284" s="639"/>
      <c r="J284" s="639"/>
      <c r="K284" s="639"/>
      <c r="L284" s="639"/>
      <c r="M284" s="639"/>
      <c r="N284" s="748"/>
      <c r="O284" s="639"/>
      <c r="P284" s="639"/>
    </row>
    <row r="285" spans="1:16" s="442" customFormat="1" ht="15" customHeight="1" thickBot="1">
      <c r="A285" s="639"/>
      <c r="B285" s="679"/>
      <c r="C285" s="675" t="s">
        <v>711</v>
      </c>
      <c r="D285" s="750">
        <f>D283*E281/100</f>
        <v>0.36998847551849434</v>
      </c>
      <c r="E285" s="633" t="s">
        <v>571</v>
      </c>
      <c r="F285" s="633"/>
      <c r="G285" s="747"/>
      <c r="H285" s="639"/>
      <c r="I285" s="639"/>
      <c r="J285" s="639"/>
      <c r="K285" s="639"/>
      <c r="L285" s="639"/>
      <c r="M285" s="639"/>
      <c r="N285" s="748"/>
      <c r="O285" s="639"/>
      <c r="P285" s="639"/>
    </row>
    <row r="286" spans="1:16" customFormat="1" ht="15.75">
      <c r="A286" s="250"/>
      <c r="B286" s="280"/>
      <c r="C286" s="751"/>
      <c r="D286" s="752"/>
      <c r="E286" s="752"/>
      <c r="F286" s="250"/>
      <c r="G286" s="250"/>
      <c r="H286" s="250"/>
      <c r="I286" s="250"/>
      <c r="J286" s="250"/>
      <c r="K286" s="250"/>
      <c r="L286" s="250"/>
      <c r="M286" s="250"/>
      <c r="N286" s="250"/>
      <c r="O286" s="250"/>
      <c r="P286" s="250"/>
    </row>
    <row r="287" spans="1:16" ht="15" customHeight="1">
      <c r="A287" s="684" t="s">
        <v>575</v>
      </c>
      <c r="B287" s="441" t="s">
        <v>567</v>
      </c>
      <c r="C287" s="629"/>
      <c r="D287" s="629"/>
      <c r="E287" s="696"/>
      <c r="F287" s="696"/>
      <c r="G287" s="629"/>
      <c r="H287" s="629"/>
      <c r="I287" s="629"/>
      <c r="J287" s="629"/>
      <c r="K287" s="629"/>
      <c r="L287" s="629"/>
      <c r="M287" s="629"/>
      <c r="N287" s="674"/>
      <c r="O287" s="629"/>
      <c r="P287" s="629"/>
    </row>
    <row r="288" spans="1:16" ht="9" customHeight="1">
      <c r="A288" s="629"/>
      <c r="B288" s="629"/>
      <c r="C288" s="645"/>
      <c r="D288" s="672"/>
      <c r="E288" s="696"/>
      <c r="F288" s="696"/>
      <c r="G288" s="629"/>
      <c r="H288" s="629"/>
      <c r="I288" s="629"/>
      <c r="J288" s="629"/>
      <c r="K288" s="629"/>
      <c r="L288" s="629"/>
      <c r="M288" s="629"/>
      <c r="N288" s="674"/>
      <c r="O288" s="629"/>
      <c r="P288" s="629"/>
    </row>
    <row r="289" spans="1:16" ht="18.75">
      <c r="A289" s="629"/>
      <c r="B289" s="629" t="s">
        <v>712</v>
      </c>
      <c r="C289" s="629"/>
      <c r="D289" s="629"/>
      <c r="E289" s="629"/>
      <c r="F289" s="629"/>
      <c r="G289" s="629"/>
      <c r="H289" s="629"/>
      <c r="I289" s="629"/>
      <c r="J289" s="629"/>
      <c r="K289" s="629"/>
      <c r="L289" s="629"/>
      <c r="M289" s="629"/>
      <c r="N289" s="674"/>
      <c r="O289" s="629"/>
      <c r="P289" s="629"/>
    </row>
    <row r="290" spans="1:16" ht="9.75" customHeight="1">
      <c r="A290" s="629"/>
      <c r="B290" s="629"/>
      <c r="C290" s="629"/>
      <c r="D290" s="629"/>
      <c r="E290" s="629"/>
      <c r="F290" s="629"/>
      <c r="G290" s="629"/>
      <c r="H290" s="629"/>
      <c r="I290" s="629"/>
      <c r="J290" s="629"/>
      <c r="K290" s="629"/>
      <c r="L290" s="629"/>
      <c r="M290" s="629"/>
      <c r="N290" s="674"/>
      <c r="O290" s="629"/>
      <c r="P290" s="629"/>
    </row>
    <row r="291" spans="1:16" s="444" customFormat="1" ht="18.75">
      <c r="A291" s="629"/>
      <c r="B291" s="686" t="s">
        <v>510</v>
      </c>
      <c r="C291" s="736" t="s">
        <v>713</v>
      </c>
      <c r="D291" s="714" t="s">
        <v>572</v>
      </c>
      <c r="E291" s="737"/>
      <c r="F291" s="714" t="s">
        <v>446</v>
      </c>
      <c r="G291" s="714"/>
      <c r="H291" s="714"/>
      <c r="I291" s="714"/>
      <c r="J291" s="714"/>
      <c r="K291" s="714"/>
      <c r="L291" s="714"/>
      <c r="M291" s="714"/>
      <c r="N291" s="714"/>
      <c r="O291" s="714"/>
      <c r="P291" s="714"/>
    </row>
    <row r="292" spans="1:16" s="444" customFormat="1" ht="15.75">
      <c r="A292" s="629"/>
      <c r="B292" s="629"/>
      <c r="C292" s="742"/>
      <c r="D292" s="714"/>
      <c r="E292" s="740"/>
      <c r="F292" s="714"/>
      <c r="G292" s="714"/>
      <c r="H292" s="714"/>
      <c r="I292" s="714"/>
      <c r="J292" s="714"/>
      <c r="K292" s="714"/>
      <c r="L292" s="714"/>
      <c r="M292" s="714"/>
      <c r="N292" s="714"/>
      <c r="O292" s="714"/>
      <c r="P292" s="714"/>
    </row>
    <row r="293" spans="1:16" s="444" customFormat="1" ht="18.75">
      <c r="A293" s="629"/>
      <c r="B293" s="686"/>
      <c r="C293" s="736" t="s">
        <v>713</v>
      </c>
      <c r="D293" s="714">
        <v>1.3</v>
      </c>
      <c r="E293" s="753" t="s">
        <v>573</v>
      </c>
      <c r="F293" s="714"/>
      <c r="G293" s="714"/>
      <c r="H293" s="714"/>
      <c r="I293" s="714"/>
      <c r="J293" s="714"/>
      <c r="K293" s="714"/>
      <c r="L293" s="714"/>
      <c r="M293" s="714"/>
      <c r="N293" s="714"/>
      <c r="O293" s="714"/>
      <c r="P293" s="714"/>
    </row>
    <row r="294" spans="1:16" s="444" customFormat="1" ht="15.75">
      <c r="A294" s="629"/>
      <c r="B294" s="629"/>
      <c r="C294" s="736" t="s">
        <v>574</v>
      </c>
      <c r="D294" s="737">
        <v>500</v>
      </c>
      <c r="E294" s="714" t="s">
        <v>477</v>
      </c>
      <c r="F294" s="714"/>
      <c r="G294" s="714"/>
      <c r="H294" s="714"/>
      <c r="I294" s="714"/>
      <c r="J294" s="714"/>
      <c r="K294" s="714"/>
      <c r="L294" s="714"/>
      <c r="M294" s="714"/>
      <c r="N294" s="714"/>
      <c r="O294" s="714"/>
      <c r="P294" s="714"/>
    </row>
    <row r="295" spans="1:16" s="444" customFormat="1" ht="15.75">
      <c r="A295" s="629"/>
      <c r="B295" s="629"/>
      <c r="C295" s="742"/>
      <c r="D295" s="714"/>
      <c r="E295" s="740"/>
      <c r="F295" s="714"/>
      <c r="G295" s="714"/>
      <c r="H295" s="714"/>
      <c r="I295" s="714"/>
      <c r="J295" s="714"/>
      <c r="K295" s="714"/>
      <c r="L295" s="714"/>
      <c r="M295" s="714"/>
      <c r="N295" s="714"/>
      <c r="O295" s="714"/>
      <c r="P295" s="714"/>
    </row>
    <row r="296" spans="1:16" s="444" customFormat="1" ht="15.75">
      <c r="A296" s="629"/>
      <c r="B296" s="629"/>
      <c r="C296" s="742"/>
      <c r="D296" s="743" t="s">
        <v>449</v>
      </c>
      <c r="E296" s="740">
        <v>52</v>
      </c>
      <c r="F296" s="714" t="s">
        <v>441</v>
      </c>
      <c r="G296" s="714"/>
      <c r="H296" s="714"/>
      <c r="I296" s="714"/>
      <c r="J296" s="714"/>
      <c r="K296" s="714"/>
      <c r="L296" s="714"/>
      <c r="M296" s="714"/>
      <c r="N296" s="714"/>
      <c r="O296" s="714"/>
      <c r="P296" s="714"/>
    </row>
    <row r="297" spans="1:16" ht="15" customHeight="1" thickBot="1">
      <c r="A297" s="629"/>
      <c r="B297" s="629"/>
      <c r="C297" s="629"/>
      <c r="D297" s="629"/>
      <c r="E297" s="629"/>
      <c r="F297" s="645"/>
      <c r="G297" s="629"/>
      <c r="H297" s="629"/>
      <c r="I297" s="629"/>
      <c r="J297" s="629"/>
      <c r="K297" s="629"/>
      <c r="L297" s="629"/>
      <c r="M297" s="629"/>
      <c r="N297" s="674"/>
      <c r="O297" s="629"/>
      <c r="P297" s="629"/>
    </row>
    <row r="298" spans="1:16" s="442" customFormat="1" ht="18" thickBot="1">
      <c r="A298" s="639"/>
      <c r="B298" s="639"/>
      <c r="C298" s="675" t="s">
        <v>714</v>
      </c>
      <c r="D298" s="750">
        <f>D293*D294/2000</f>
        <v>0.32500000000000001</v>
      </c>
      <c r="E298" s="633" t="s">
        <v>576</v>
      </c>
      <c r="F298" s="746"/>
      <c r="G298" s="747"/>
      <c r="H298" s="639"/>
      <c r="I298" s="639"/>
      <c r="J298" s="639"/>
      <c r="K298" s="639"/>
      <c r="L298" s="639"/>
      <c r="M298" s="639"/>
      <c r="N298" s="748"/>
      <c r="O298" s="639"/>
      <c r="P298" s="639"/>
    </row>
    <row r="299" spans="1:16" s="442" customFormat="1" ht="16.5" thickBot="1">
      <c r="A299" s="639"/>
      <c r="B299" s="639"/>
      <c r="C299" s="679"/>
      <c r="D299" s="712"/>
      <c r="E299" s="639"/>
      <c r="F299" s="749"/>
      <c r="G299" s="639"/>
      <c r="H299" s="639"/>
      <c r="I299" s="639"/>
      <c r="J299" s="639"/>
      <c r="K299" s="639"/>
      <c r="L299" s="639"/>
      <c r="M299" s="639"/>
      <c r="N299" s="748"/>
      <c r="O299" s="639"/>
      <c r="P299" s="639"/>
    </row>
    <row r="300" spans="1:16" s="442" customFormat="1" ht="15" customHeight="1" thickBot="1">
      <c r="A300" s="639"/>
      <c r="B300" s="679"/>
      <c r="C300" s="675" t="s">
        <v>715</v>
      </c>
      <c r="D300" s="750">
        <f>D298*E296/100</f>
        <v>0.16900000000000001</v>
      </c>
      <c r="E300" s="633" t="s">
        <v>576</v>
      </c>
      <c r="F300" s="633"/>
      <c r="G300" s="747"/>
      <c r="H300" s="639"/>
      <c r="I300" s="639"/>
      <c r="J300" s="639"/>
      <c r="K300" s="639"/>
      <c r="L300" s="639"/>
      <c r="M300" s="639"/>
      <c r="N300" s="748"/>
      <c r="O300" s="639"/>
      <c r="P300" s="639"/>
    </row>
    <row r="301" spans="1:16" customFormat="1" ht="15.75">
      <c r="A301" s="250"/>
      <c r="B301" s="280"/>
      <c r="C301" s="751"/>
      <c r="D301" s="752"/>
      <c r="E301" s="752"/>
      <c r="F301" s="250"/>
      <c r="G301" s="250"/>
      <c r="H301" s="250"/>
      <c r="I301" s="250"/>
      <c r="J301" s="250"/>
      <c r="K301" s="250"/>
      <c r="L301" s="250"/>
      <c r="M301" s="250"/>
      <c r="N301" s="250"/>
      <c r="O301" s="250"/>
      <c r="P301" s="250"/>
    </row>
    <row r="302" spans="1:16" ht="15.75">
      <c r="A302" s="629"/>
      <c r="B302" s="629"/>
      <c r="C302" s="629"/>
      <c r="D302" s="629"/>
      <c r="E302" s="629"/>
      <c r="F302" s="629"/>
      <c r="G302" s="629"/>
      <c r="H302" s="629"/>
      <c r="I302" s="629"/>
      <c r="J302" s="629"/>
      <c r="K302" s="629"/>
      <c r="L302" s="629"/>
      <c r="M302" s="629"/>
      <c r="N302" s="629"/>
      <c r="O302" s="629"/>
      <c r="P302" s="629"/>
    </row>
    <row r="303" spans="1:16" customFormat="1"/>
    <row r="304" spans="1:16" customFormat="1" ht="14.25">
      <c r="B304" s="429"/>
      <c r="C304" s="429"/>
      <c r="D304" s="429"/>
      <c r="E304" s="429"/>
      <c r="F304" s="429"/>
      <c r="G304" s="429"/>
      <c r="H304" s="429"/>
      <c r="I304" s="429"/>
      <c r="J304" s="429"/>
      <c r="K304" s="429"/>
    </row>
    <row r="315" spans="5:5">
      <c r="E315" s="445"/>
    </row>
  </sheetData>
  <mergeCells count="4">
    <mergeCell ref="C77:C79"/>
    <mergeCell ref="C84:E84"/>
    <mergeCell ref="A87:I87"/>
    <mergeCell ref="D250:I250"/>
  </mergeCells>
  <pageMargins left="0.7" right="0.7" top="0.75" bottom="0.75" header="0.3" footer="0.3"/>
  <pageSetup scale="7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F299-5D57-495C-83B4-4FD65C8E3F1F}">
  <sheetPr>
    <tabColor rgb="FF00B050"/>
    <pageSetUpPr fitToPage="1"/>
  </sheetPr>
  <dimension ref="A1:U34"/>
  <sheetViews>
    <sheetView topLeftCell="B22" zoomScale="120" zoomScaleNormal="120" workbookViewId="0">
      <selection activeCell="E8" sqref="E8"/>
    </sheetView>
  </sheetViews>
  <sheetFormatPr defaultRowHeight="12.75"/>
  <cols>
    <col min="1" max="1" width="17.28515625" customWidth="1"/>
    <col min="2" max="2" width="21.140625" customWidth="1"/>
    <col min="3" max="3" width="16.85546875" customWidth="1"/>
    <col min="4" max="21" width="9.85546875" customWidth="1"/>
  </cols>
  <sheetData>
    <row r="1" spans="1:21">
      <c r="G1" s="171" t="s">
        <v>617</v>
      </c>
      <c r="H1" s="159"/>
      <c r="K1" s="159"/>
      <c r="L1" s="159"/>
    </row>
    <row r="2" spans="1:21">
      <c r="H2" s="159"/>
      <c r="I2" s="171"/>
      <c r="J2" s="171"/>
      <c r="K2" s="159"/>
      <c r="L2" s="159"/>
    </row>
    <row r="3" spans="1:21" ht="15">
      <c r="A3" s="224" t="s">
        <v>590</v>
      </c>
      <c r="I3" s="172"/>
      <c r="J3" s="172"/>
      <c r="K3" s="173"/>
      <c r="L3" s="173"/>
    </row>
    <row r="4" spans="1:21">
      <c r="H4" s="159"/>
      <c r="I4" s="171"/>
      <c r="J4" s="171"/>
      <c r="K4" s="159"/>
      <c r="L4" s="159"/>
    </row>
    <row r="5" spans="1:21">
      <c r="D5" s="174" t="s">
        <v>189</v>
      </c>
      <c r="E5" t="s">
        <v>207</v>
      </c>
      <c r="P5" s="229"/>
      <c r="Q5" s="230"/>
    </row>
    <row r="6" spans="1:21">
      <c r="D6" s="174" t="s">
        <v>190</v>
      </c>
      <c r="E6" t="s">
        <v>208</v>
      </c>
      <c r="P6" s="229"/>
      <c r="Q6" s="230"/>
    </row>
    <row r="7" spans="1:21">
      <c r="D7" s="174" t="s">
        <v>305</v>
      </c>
      <c r="E7" t="s">
        <v>309</v>
      </c>
      <c r="P7" s="229"/>
      <c r="Q7" s="230"/>
    </row>
    <row r="8" spans="1:21">
      <c r="D8" s="174" t="s">
        <v>191</v>
      </c>
      <c r="E8" s="438">
        <v>45292</v>
      </c>
    </row>
    <row r="9" spans="1:21">
      <c r="D9" s="174"/>
      <c r="E9" s="438"/>
    </row>
    <row r="10" spans="1:21">
      <c r="D10" s="174"/>
      <c r="E10" s="175"/>
    </row>
    <row r="11" spans="1:21">
      <c r="A11" s="805" t="s">
        <v>310</v>
      </c>
      <c r="B11" s="806"/>
      <c r="C11" s="806"/>
      <c r="D11" s="806"/>
      <c r="E11" s="806"/>
      <c r="F11" s="806"/>
      <c r="G11" s="806"/>
      <c r="H11" s="806"/>
      <c r="I11" s="806"/>
    </row>
    <row r="12" spans="1:21" ht="13.5" thickBot="1"/>
    <row r="13" spans="1:21" ht="24.75" customHeight="1" thickTop="1">
      <c r="A13" s="231"/>
      <c r="B13" s="232" t="s">
        <v>0</v>
      </c>
      <c r="C13" s="233"/>
      <c r="D13" s="807" t="s">
        <v>343</v>
      </c>
      <c r="E13" s="808"/>
      <c r="F13" s="808"/>
      <c r="G13" s="808"/>
      <c r="H13" s="808"/>
      <c r="I13" s="808"/>
      <c r="J13" s="808"/>
      <c r="K13" s="808"/>
      <c r="L13" s="808"/>
      <c r="M13" s="808"/>
      <c r="N13" s="808"/>
      <c r="O13" s="808"/>
      <c r="P13" s="808"/>
      <c r="Q13" s="808"/>
      <c r="R13" s="808"/>
      <c r="S13" s="808"/>
      <c r="T13" s="808"/>
      <c r="U13" s="809"/>
    </row>
    <row r="14" spans="1:21" ht="15">
      <c r="A14" s="234" t="s">
        <v>73</v>
      </c>
      <c r="B14" s="273" t="s">
        <v>311</v>
      </c>
      <c r="C14" s="274" t="s">
        <v>312</v>
      </c>
      <c r="D14" s="449" t="s">
        <v>313</v>
      </c>
      <c r="E14" s="450"/>
      <c r="F14" s="449" t="s">
        <v>326</v>
      </c>
      <c r="G14" s="450"/>
      <c r="H14" s="449" t="s">
        <v>314</v>
      </c>
      <c r="I14" s="450"/>
      <c r="J14" s="449" t="s">
        <v>315</v>
      </c>
      <c r="K14" s="450"/>
      <c r="L14" s="449" t="s">
        <v>75</v>
      </c>
      <c r="M14" s="241"/>
      <c r="N14" s="449" t="s">
        <v>72</v>
      </c>
      <c r="O14" s="460"/>
      <c r="P14" s="461" t="s">
        <v>87</v>
      </c>
      <c r="Q14" s="460"/>
      <c r="R14" s="449" t="s">
        <v>316</v>
      </c>
      <c r="S14" s="462"/>
      <c r="T14" s="449" t="s">
        <v>345</v>
      </c>
      <c r="U14" s="463"/>
    </row>
    <row r="15" spans="1:21">
      <c r="A15" s="235" t="s">
        <v>317</v>
      </c>
      <c r="B15" s="236" t="s">
        <v>76</v>
      </c>
      <c r="C15" s="236"/>
      <c r="D15" s="451" t="s">
        <v>103</v>
      </c>
      <c r="E15" s="464" t="s">
        <v>318</v>
      </c>
      <c r="F15" s="451" t="s">
        <v>103</v>
      </c>
      <c r="G15" s="464" t="s">
        <v>318</v>
      </c>
      <c r="H15" s="451" t="s">
        <v>103</v>
      </c>
      <c r="I15" s="452" t="s">
        <v>318</v>
      </c>
      <c r="J15" s="451" t="s">
        <v>103</v>
      </c>
      <c r="K15" s="464" t="s">
        <v>318</v>
      </c>
      <c r="L15" s="451" t="s">
        <v>103</v>
      </c>
      <c r="M15" s="464" t="s">
        <v>318</v>
      </c>
      <c r="N15" s="451" t="s">
        <v>103</v>
      </c>
      <c r="O15" s="452" t="s">
        <v>318</v>
      </c>
      <c r="P15" s="451" t="s">
        <v>103</v>
      </c>
      <c r="Q15" s="452" t="s">
        <v>318</v>
      </c>
      <c r="R15" s="451" t="s">
        <v>103</v>
      </c>
      <c r="S15" s="465" t="s">
        <v>318</v>
      </c>
      <c r="T15" s="451" t="s">
        <v>103</v>
      </c>
      <c r="U15" s="466" t="s">
        <v>318</v>
      </c>
    </row>
    <row r="16" spans="1:21" ht="21.75" customHeight="1">
      <c r="A16" s="424" t="s">
        <v>458</v>
      </c>
      <c r="B16" s="425" t="s">
        <v>321</v>
      </c>
      <c r="C16" s="426" t="s">
        <v>327</v>
      </c>
      <c r="D16" s="453">
        <v>0</v>
      </c>
      <c r="E16" s="453">
        <v>0</v>
      </c>
      <c r="F16" s="453">
        <v>0</v>
      </c>
      <c r="G16" s="453">
        <v>0</v>
      </c>
      <c r="H16" s="453">
        <v>0</v>
      </c>
      <c r="I16" s="453">
        <v>0</v>
      </c>
      <c r="J16" s="453">
        <v>0</v>
      </c>
      <c r="K16" s="453">
        <v>0</v>
      </c>
      <c r="L16" s="453">
        <v>0</v>
      </c>
      <c r="M16" s="453">
        <v>0</v>
      </c>
      <c r="N16" s="453">
        <f>O16/4.38</f>
        <v>13.01648697987207</v>
      </c>
      <c r="O16" s="453">
        <f>'HAP Fugitive'!I59</f>
        <v>57.012212971839666</v>
      </c>
      <c r="P16" s="453">
        <f>Q16/4.38</f>
        <v>5.0764299221501066</v>
      </c>
      <c r="Q16" s="453">
        <f>'HAP Fugitive'!I60</f>
        <v>22.234763059017467</v>
      </c>
      <c r="R16" s="453">
        <f>S16/4.38</f>
        <v>2.6846521060976358</v>
      </c>
      <c r="S16" s="453">
        <f>'HAP Fugitive'!I61</f>
        <v>11.758776224707645</v>
      </c>
      <c r="T16" s="453">
        <f>U16/4.38</f>
        <v>0.91910251469770343</v>
      </c>
      <c r="U16" s="467">
        <f>'HAP Fugitive'!$I$62</f>
        <v>4.025669014375941</v>
      </c>
    </row>
    <row r="17" spans="1:21" ht="27.75" customHeight="1">
      <c r="A17" s="423" t="s">
        <v>614</v>
      </c>
      <c r="B17" s="426" t="s">
        <v>319</v>
      </c>
      <c r="C17" s="426" t="s">
        <v>615</v>
      </c>
      <c r="D17" s="454">
        <f>'Flare Emissions'!J17</f>
        <v>3.06</v>
      </c>
      <c r="E17" s="454">
        <f>'Flare Emissions'!K17</f>
        <v>13.402799999999999</v>
      </c>
      <c r="F17" s="454">
        <f>D17</f>
        <v>3.06</v>
      </c>
      <c r="G17" s="454">
        <f>E17</f>
        <v>13.402799999999999</v>
      </c>
      <c r="H17" s="454">
        <f>'Flare Emissions'!H17</f>
        <v>3.0127658251753999</v>
      </c>
      <c r="I17" s="454">
        <f>H17*4.38</f>
        <v>13.195914314268251</v>
      </c>
      <c r="J17" s="454">
        <f>'Flare Emissions'!D17</f>
        <v>10.799999999999999</v>
      </c>
      <c r="K17" s="454">
        <f>J17*4.38</f>
        <v>47.303999999999995</v>
      </c>
      <c r="L17" s="454">
        <f>'Flare Emissions'!F17</f>
        <v>36</v>
      </c>
      <c r="M17" s="454">
        <f>L17*4.38</f>
        <v>157.68</v>
      </c>
      <c r="N17" s="454">
        <f>'Flare Emissions'!N17</f>
        <v>0.97232349409013452</v>
      </c>
      <c r="O17" s="454">
        <f>N17*4.38</f>
        <v>4.2587769041147894</v>
      </c>
      <c r="P17" s="454">
        <f>'Flare Emissions'!P17</f>
        <v>0.3792061626951525</v>
      </c>
      <c r="Q17" s="454">
        <f>P17*4.38</f>
        <v>1.6609229926047679</v>
      </c>
      <c r="R17" s="454">
        <f>'Flare Emissions'!R17</f>
        <v>1.6557068200366603</v>
      </c>
      <c r="S17" s="454">
        <f t="shared" ref="S17:S22" si="0">R17*4.38</f>
        <v>7.2519958717605721</v>
      </c>
      <c r="T17" s="454">
        <f>'Flare Emissions'!T17</f>
        <v>1.4534479489286392</v>
      </c>
      <c r="U17" s="468">
        <f t="shared" ref="U17:U22" si="1">T17*4.38</f>
        <v>6.3661020163074395</v>
      </c>
    </row>
    <row r="18" spans="1:21" ht="18.75" customHeight="1">
      <c r="A18" s="433" t="s">
        <v>455</v>
      </c>
      <c r="B18" s="426" t="s">
        <v>320</v>
      </c>
      <c r="C18" s="426"/>
      <c r="D18" s="454">
        <f>E18/4.38</f>
        <v>4.260541038599631</v>
      </c>
      <c r="E18" s="454">
        <f>'Roads - Waste'!F39+'Roads - Waste'!F69+'Roads - Soil'!F42+'Roads - Construction'!F42</f>
        <v>18.661169749066381</v>
      </c>
      <c r="F18" s="454">
        <f>G18/4.38</f>
        <v>16.121977110011677</v>
      </c>
      <c r="G18" s="454">
        <f>'Roads - Waste'!F38+'Roads - Waste'!F68+'Roads - Soil'!F41+'Roads - Construction'!F41</f>
        <v>70.614259741851143</v>
      </c>
      <c r="H18" s="454">
        <v>0</v>
      </c>
      <c r="I18" s="454">
        <v>0</v>
      </c>
      <c r="J18" s="454">
        <v>0</v>
      </c>
      <c r="K18" s="454">
        <v>0</v>
      </c>
      <c r="L18" s="454">
        <v>0</v>
      </c>
      <c r="M18" s="454">
        <v>0</v>
      </c>
      <c r="N18" s="454">
        <v>0</v>
      </c>
      <c r="O18" s="454">
        <v>0</v>
      </c>
      <c r="P18" s="454">
        <f>Q18*2000</f>
        <v>0</v>
      </c>
      <c r="Q18" s="454">
        <v>0</v>
      </c>
      <c r="R18" s="454">
        <f>0</f>
        <v>0</v>
      </c>
      <c r="S18" s="454">
        <f t="shared" si="0"/>
        <v>0</v>
      </c>
      <c r="T18" s="454">
        <f>0</f>
        <v>0</v>
      </c>
      <c r="U18" s="468">
        <f t="shared" si="1"/>
        <v>0</v>
      </c>
    </row>
    <row r="19" spans="1:21" ht="19.5" customHeight="1">
      <c r="A19" s="434"/>
      <c r="B19" s="426" t="s">
        <v>324</v>
      </c>
      <c r="C19" s="426"/>
      <c r="D19" s="454">
        <v>0</v>
      </c>
      <c r="E19" s="454">
        <f>D19/2000</f>
        <v>0</v>
      </c>
      <c r="F19" s="454">
        <v>0</v>
      </c>
      <c r="G19" s="454">
        <f>F19/2000</f>
        <v>0</v>
      </c>
      <c r="H19" s="454">
        <v>0</v>
      </c>
      <c r="I19" s="454">
        <v>0</v>
      </c>
      <c r="J19" s="454">
        <v>0</v>
      </c>
      <c r="K19" s="454">
        <v>0</v>
      </c>
      <c r="L19" s="454">
        <v>0</v>
      </c>
      <c r="M19" s="454">
        <v>0</v>
      </c>
      <c r="N19" s="454">
        <v>0</v>
      </c>
      <c r="O19" s="454">
        <v>0</v>
      </c>
      <c r="P19" s="454">
        <f>Q19/4.38</f>
        <v>6.8390410958904108E-3</v>
      </c>
      <c r="Q19" s="454">
        <f>'Stg Tanks'!F19</f>
        <v>2.9954999999999999E-2</v>
      </c>
      <c r="R19" s="454">
        <f>0</f>
        <v>0</v>
      </c>
      <c r="S19" s="454">
        <f t="shared" si="0"/>
        <v>0</v>
      </c>
      <c r="T19" s="454">
        <f>0</f>
        <v>0</v>
      </c>
      <c r="U19" s="468">
        <f t="shared" si="1"/>
        <v>0</v>
      </c>
    </row>
    <row r="20" spans="1:21" ht="17.25" customHeight="1">
      <c r="A20" s="434"/>
      <c r="B20" s="426" t="s">
        <v>325</v>
      </c>
      <c r="C20" s="426"/>
      <c r="D20" s="454">
        <v>0</v>
      </c>
      <c r="E20" s="454">
        <f>D20/2000</f>
        <v>0</v>
      </c>
      <c r="F20" s="454">
        <v>0</v>
      </c>
      <c r="G20" s="454">
        <f>F20/2000</f>
        <v>0</v>
      </c>
      <c r="H20" s="454">
        <v>0</v>
      </c>
      <c r="I20" s="454">
        <v>0</v>
      </c>
      <c r="J20" s="454">
        <v>0</v>
      </c>
      <c r="K20" s="454">
        <v>0</v>
      </c>
      <c r="L20" s="454">
        <v>0</v>
      </c>
      <c r="M20" s="454">
        <v>0</v>
      </c>
      <c r="N20" s="454">
        <v>0</v>
      </c>
      <c r="O20" s="454">
        <v>0</v>
      </c>
      <c r="P20" s="454">
        <f>Q20/4.38</f>
        <v>1.408582338647227E-2</v>
      </c>
      <c r="Q20" s="454">
        <f>'Stg Tanks'!F35</f>
        <v>6.169590643274854E-2</v>
      </c>
      <c r="R20" s="454">
        <f>0</f>
        <v>0</v>
      </c>
      <c r="S20" s="454">
        <f t="shared" si="0"/>
        <v>0</v>
      </c>
      <c r="T20" s="454">
        <f>0</f>
        <v>0</v>
      </c>
      <c r="U20" s="468">
        <f t="shared" si="1"/>
        <v>0</v>
      </c>
    </row>
    <row r="21" spans="1:21" ht="25.5">
      <c r="A21" s="434"/>
      <c r="B21" s="426" t="s">
        <v>298</v>
      </c>
      <c r="C21" s="426"/>
      <c r="D21" s="454">
        <v>0</v>
      </c>
      <c r="E21" s="454">
        <f>D21/2000</f>
        <v>0</v>
      </c>
      <c r="F21" s="454">
        <v>1</v>
      </c>
      <c r="G21" s="454">
        <f>F21/2000</f>
        <v>5.0000000000000001E-4</v>
      </c>
      <c r="H21" s="454">
        <v>0</v>
      </c>
      <c r="I21" s="454">
        <v>0</v>
      </c>
      <c r="J21" s="454">
        <v>0</v>
      </c>
      <c r="K21" s="454">
        <v>0</v>
      </c>
      <c r="L21" s="454">
        <v>0</v>
      </c>
      <c r="M21" s="454">
        <v>0</v>
      </c>
      <c r="N21" s="454">
        <v>0</v>
      </c>
      <c r="O21" s="454">
        <v>0</v>
      </c>
      <c r="P21" s="454">
        <f>Q21/4.38</f>
        <v>2.853881278538813E-2</v>
      </c>
      <c r="Q21" s="454">
        <f>'Heated Pressure Washer'!D20</f>
        <v>0.125</v>
      </c>
      <c r="R21" s="454">
        <f>0</f>
        <v>0</v>
      </c>
      <c r="S21" s="454">
        <f t="shared" si="0"/>
        <v>0</v>
      </c>
      <c r="T21" s="454">
        <f>0</f>
        <v>0</v>
      </c>
      <c r="U21" s="468">
        <f t="shared" si="1"/>
        <v>0</v>
      </c>
    </row>
    <row r="22" spans="1:21" ht="25.5">
      <c r="A22" s="436" t="s">
        <v>460</v>
      </c>
      <c r="B22" s="427" t="s">
        <v>355</v>
      </c>
      <c r="C22" s="427" t="s">
        <v>356</v>
      </c>
      <c r="D22" s="469">
        <f>E22/4.38</f>
        <v>0.23360610730593609</v>
      </c>
      <c r="E22" s="469">
        <f>'Misc. Combustion'!D24</f>
        <v>1.02319475</v>
      </c>
      <c r="F22" s="455">
        <f>G22/4.38</f>
        <v>0.23360610730593609</v>
      </c>
      <c r="G22" s="455">
        <f>'Misc. Combustion'!E24</f>
        <v>1.02319475</v>
      </c>
      <c r="H22" s="455">
        <f>I22/4.38</f>
        <v>0.2170370433789954</v>
      </c>
      <c r="I22" s="455">
        <f>'Misc. Combustion'!F24</f>
        <v>0.95062224999999989</v>
      </c>
      <c r="J22" s="455">
        <f>K22/4.38</f>
        <v>3.2983904109589042</v>
      </c>
      <c r="K22" s="455">
        <f>'Misc. Combustion'!G24</f>
        <v>14.446949999999999</v>
      </c>
      <c r="L22" s="455">
        <f>M22/4.38</f>
        <v>0.7471634703196347</v>
      </c>
      <c r="M22" s="455">
        <f>'Misc. Combustion'!I24</f>
        <v>3.2725759999999999</v>
      </c>
      <c r="N22" s="455">
        <f>O22/4.38</f>
        <v>0</v>
      </c>
      <c r="O22" s="469">
        <v>0</v>
      </c>
      <c r="P22" s="455">
        <f>Q22/4.38</f>
        <v>0.37486050228310513</v>
      </c>
      <c r="Q22" s="455">
        <f>'Misc. Combustion'!H24</f>
        <v>1.6418890000000004</v>
      </c>
      <c r="R22" s="469">
        <f>0</f>
        <v>0</v>
      </c>
      <c r="S22" s="469">
        <f t="shared" si="0"/>
        <v>0</v>
      </c>
      <c r="T22" s="469">
        <f>0</f>
        <v>0</v>
      </c>
      <c r="U22" s="470">
        <f t="shared" si="1"/>
        <v>0</v>
      </c>
    </row>
    <row r="23" spans="1:21" ht="25.5">
      <c r="A23" s="433" t="s">
        <v>456</v>
      </c>
      <c r="B23" s="426" t="s">
        <v>436</v>
      </c>
      <c r="C23" s="426" t="s">
        <v>437</v>
      </c>
      <c r="D23" s="454">
        <f>'IC Engine 635 hp'!R11</f>
        <v>0.12526970899470899</v>
      </c>
      <c r="E23" s="454">
        <f>'IC Engine 635 hp'!S11</f>
        <v>3.1317427248677247E-2</v>
      </c>
      <c r="F23" s="454">
        <f>'IC Engine 635 hp'!R11</f>
        <v>0.12526970899470899</v>
      </c>
      <c r="G23" s="454">
        <f>'IC Engine 635 hp'!S11</f>
        <v>3.1317427248677247E-2</v>
      </c>
      <c r="H23" s="454">
        <f>'IC Engine 635 hp'!O11</f>
        <v>1.541145</v>
      </c>
      <c r="I23" s="454">
        <f>'IC Engine 635 hp'!P11</f>
        <v>0.38528625</v>
      </c>
      <c r="J23" s="454">
        <f>'IC Engine 635 hp'!I11</f>
        <v>4.1756569664902994</v>
      </c>
      <c r="K23" s="454">
        <f>'IC Engine 635 hp'!G11</f>
        <v>0.99700073560405644</v>
      </c>
      <c r="L23" s="454">
        <f>'IC Engine 635 hp'!L11</f>
        <v>3.6536998456790122</v>
      </c>
      <c r="M23" s="454">
        <f>'IC Engine 635 hp'!M11</f>
        <v>0.91342496141975305</v>
      </c>
      <c r="N23" s="454">
        <v>0</v>
      </c>
      <c r="O23" s="454">
        <v>0</v>
      </c>
      <c r="P23" s="454">
        <f>'IC Engine 635 hp'!U11</f>
        <v>0.44767499999999999</v>
      </c>
      <c r="Q23" s="454">
        <f>'IC Engine 635 hp'!V11</f>
        <v>4.6913506018518514E-2</v>
      </c>
      <c r="R23" s="454">
        <v>0</v>
      </c>
      <c r="S23" s="454">
        <v>0</v>
      </c>
      <c r="T23" s="454">
        <v>0</v>
      </c>
      <c r="U23" s="468">
        <v>0</v>
      </c>
    </row>
    <row r="24" spans="1:21" ht="40.5" customHeight="1">
      <c r="A24" s="433" t="s">
        <v>457</v>
      </c>
      <c r="B24" s="426" t="s">
        <v>436</v>
      </c>
      <c r="C24" s="426" t="s">
        <v>438</v>
      </c>
      <c r="D24" s="454">
        <f>'IC Engine 896 hp'!R12</f>
        <v>5.9259259259259255E-2</v>
      </c>
      <c r="E24" s="454">
        <f>'IC Engine 896 hp'!S12</f>
        <v>1.4814814814814815E-2</v>
      </c>
      <c r="F24" s="454">
        <f>'IC Engine 896 hp'!R12</f>
        <v>5.9259259259259255E-2</v>
      </c>
      <c r="G24" s="454">
        <f>'IC Engine 896 hp'!S12</f>
        <v>1.4814814814814815E-2</v>
      </c>
      <c r="H24" s="454">
        <f>'IC Engine 896 hp'!O12</f>
        <v>2.1745920000000001</v>
      </c>
      <c r="I24" s="454">
        <f>'IC Engine 896 hp'!P12</f>
        <v>0.54364800000000002</v>
      </c>
      <c r="J24" s="454">
        <f>'IC Engine 896 hp'!I12</f>
        <v>10.11184513580247</v>
      </c>
      <c r="K24" s="454">
        <f>'IC Engine 896 hp'!G14</f>
        <v>2.5279612839506176</v>
      </c>
      <c r="L24" s="454">
        <f>'IC Engine 896 hp'!L12</f>
        <v>0.59259259259259256</v>
      </c>
      <c r="M24" s="454">
        <f>'IC Engine 896 hp'!M14</f>
        <v>0.14814814814814814</v>
      </c>
      <c r="N24" s="454">
        <v>0</v>
      </c>
      <c r="O24" s="454">
        <v>0</v>
      </c>
      <c r="P24" s="454">
        <f>'IC Engine 896 hp'!U12</f>
        <v>0.63168000000000002</v>
      </c>
      <c r="Q24" s="454">
        <f>'IC Engine 896 hp'!V12</f>
        <v>0.11895229629629629</v>
      </c>
      <c r="R24" s="454">
        <v>0</v>
      </c>
      <c r="S24" s="454">
        <v>0</v>
      </c>
      <c r="T24" s="454">
        <v>0</v>
      </c>
      <c r="U24" s="468">
        <v>0</v>
      </c>
    </row>
    <row r="25" spans="1:21" ht="40.5" customHeight="1">
      <c r="A25" s="433" t="s">
        <v>612</v>
      </c>
      <c r="B25" s="426" t="s">
        <v>436</v>
      </c>
      <c r="C25" s="426" t="s">
        <v>613</v>
      </c>
      <c r="D25" s="454">
        <f>'Office Emerg Gen'!D28</f>
        <v>9.8700000000000003E-3</v>
      </c>
      <c r="E25" s="454">
        <f>'Office Emerg Gen'!E28</f>
        <v>2.4675000000000001E-3</v>
      </c>
      <c r="F25" s="454">
        <f>D25</f>
        <v>9.8700000000000003E-3</v>
      </c>
      <c r="G25" s="454">
        <f>E25</f>
        <v>2.4675000000000001E-3</v>
      </c>
      <c r="H25" s="454">
        <f>'Office Emerg Gen'!D26</f>
        <v>4.8362999999999998E-4</v>
      </c>
      <c r="I25" s="454">
        <f>'Office Emerg Gen'!E26</f>
        <v>1.2090749999999999E-4</v>
      </c>
      <c r="J25" s="454">
        <f>'Office Emerg Gen'!D22</f>
        <v>1.12037772</v>
      </c>
      <c r="K25" s="454">
        <f>'Office Emerg Gen'!E22</f>
        <v>0.28009443000000001</v>
      </c>
      <c r="L25" s="454">
        <f>'Office Emerg Gen'!D24</f>
        <v>5.1605276799999995</v>
      </c>
      <c r="M25" s="454">
        <f>'Office Emerg Gen'!E24</f>
        <v>1.2901319199999999</v>
      </c>
      <c r="N25" s="454"/>
      <c r="O25" s="454"/>
      <c r="P25" s="454">
        <f>'Office Emerg Gen'!D30</f>
        <v>9.7055000000000002E-2</v>
      </c>
      <c r="Q25" s="454">
        <f>'Office Emerg Gen'!E30</f>
        <v>2.4263750000000001E-2</v>
      </c>
      <c r="R25" s="454"/>
      <c r="S25" s="454"/>
      <c r="T25" s="454"/>
      <c r="U25" s="468"/>
    </row>
    <row r="26" spans="1:21" ht="25.5">
      <c r="A26" s="435" t="s">
        <v>459</v>
      </c>
      <c r="B26" s="428" t="s">
        <v>453</v>
      </c>
      <c r="C26" s="428"/>
      <c r="D26" s="453"/>
      <c r="E26" s="453">
        <f>'Fugitive - LF Operations'!D9+'Fugitive - LF Operations'!D12+'Fugitive - LF Operations'!D15+'Fugitive - LF Operations'!D18+'Fugitive - LF Operations'!D21</f>
        <v>11.855186798018293</v>
      </c>
      <c r="F26" s="453"/>
      <c r="G26" s="453">
        <f>'Fugitive - LF Operations'!D8+'Fugitive - LF Operations'!D11+'Fugitive - LF Operations'!D14+'Fugitive - LF Operations'!D17+'Fugitive - LF Operations'!D20</f>
        <v>36.321839022502282</v>
      </c>
      <c r="H26" s="453"/>
      <c r="I26" s="453"/>
      <c r="J26" s="453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67"/>
    </row>
    <row r="27" spans="1:21" ht="25.5">
      <c r="A27" s="432" t="s">
        <v>461</v>
      </c>
      <c r="B27" s="237" t="s">
        <v>462</v>
      </c>
      <c r="C27" s="428" t="s">
        <v>463</v>
      </c>
      <c r="D27" s="453">
        <v>0.03</v>
      </c>
      <c r="E27" s="453">
        <v>0.13</v>
      </c>
      <c r="F27" s="453">
        <v>0.03</v>
      </c>
      <c r="G27" s="453">
        <v>0.13</v>
      </c>
      <c r="H27" s="453">
        <v>0.03</v>
      </c>
      <c r="I27" s="453">
        <v>0.13</v>
      </c>
      <c r="J27" s="453">
        <v>0.41</v>
      </c>
      <c r="K27" s="453">
        <v>1.8</v>
      </c>
      <c r="L27" s="453">
        <v>0.37</v>
      </c>
      <c r="M27" s="453">
        <v>1.6</v>
      </c>
      <c r="N27" s="453"/>
      <c r="O27" s="453"/>
      <c r="P27" s="453">
        <v>0.02</v>
      </c>
      <c r="Q27" s="453">
        <v>0.09</v>
      </c>
      <c r="R27" s="453"/>
      <c r="S27" s="453"/>
      <c r="T27" s="453"/>
      <c r="U27" s="467"/>
    </row>
    <row r="28" spans="1:21">
      <c r="A28" s="269"/>
      <c r="B28" s="237"/>
      <c r="C28" s="428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67"/>
    </row>
    <row r="29" spans="1:21" ht="13.5" thickBot="1">
      <c r="A29" s="422"/>
      <c r="B29" s="421"/>
      <c r="C29" s="421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71"/>
    </row>
    <row r="30" spans="1:21" ht="13.5" thickBot="1">
      <c r="A30" s="270"/>
      <c r="B30" s="271" t="s">
        <v>308</v>
      </c>
      <c r="C30" s="271"/>
      <c r="D30" s="271"/>
      <c r="E30" s="271">
        <f>SUM(E16:E29)</f>
        <v>45.120951039148174</v>
      </c>
      <c r="F30" s="271"/>
      <c r="G30" s="271">
        <f>SUM(G16:G29)</f>
        <v>121.5411932564169</v>
      </c>
      <c r="H30" s="271"/>
      <c r="I30" s="271">
        <f>SUM(I16:I29)</f>
        <v>15.205591721768251</v>
      </c>
      <c r="J30" s="271"/>
      <c r="K30" s="271">
        <f>SUM(K16:K29)</f>
        <v>67.35600644955467</v>
      </c>
      <c r="L30" s="271"/>
      <c r="M30" s="271">
        <f>SUM(M16:M29)</f>
        <v>164.9042810295679</v>
      </c>
      <c r="N30" s="271"/>
      <c r="O30" s="271">
        <f>SUM(O16:O29)</f>
        <v>61.270989875954456</v>
      </c>
      <c r="P30" s="271"/>
      <c r="Q30" s="271">
        <f>SUM(Q16:Q29)</f>
        <v>26.034355510369799</v>
      </c>
      <c r="R30" s="271"/>
      <c r="S30" s="271">
        <f>SUM(S16:S29)</f>
        <v>19.010772096468216</v>
      </c>
      <c r="T30" s="271"/>
      <c r="U30" s="272">
        <f>SUM(U16:U29)</f>
        <v>10.39177103068338</v>
      </c>
    </row>
    <row r="31" spans="1:21" ht="13.5" thickTop="1">
      <c r="A31" s="238" t="s">
        <v>322</v>
      </c>
      <c r="B31" s="196"/>
      <c r="C31" s="196"/>
      <c r="D31" s="196"/>
      <c r="E31" s="196"/>
      <c r="F31" s="196"/>
      <c r="G31" s="196"/>
      <c r="H31" s="196"/>
    </row>
    <row r="32" spans="1:21">
      <c r="A32" s="238" t="s">
        <v>323</v>
      </c>
      <c r="B32" s="196"/>
      <c r="C32" s="196"/>
      <c r="D32" s="196"/>
      <c r="E32" s="196"/>
      <c r="F32" s="196"/>
      <c r="G32" s="196"/>
      <c r="H32" s="196"/>
    </row>
    <row r="33" spans="1:1">
      <c r="A33" s="238" t="s">
        <v>344</v>
      </c>
    </row>
    <row r="34" spans="1:1">
      <c r="A34" s="431" t="s">
        <v>454</v>
      </c>
    </row>
  </sheetData>
  <mergeCells count="2">
    <mergeCell ref="A11:I11"/>
    <mergeCell ref="D13:U13"/>
  </mergeCells>
  <phoneticPr fontId="22" type="noConversion"/>
  <pageMargins left="0.75" right="0.75" top="1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AA1F-7C3E-4B62-B4DF-EB91A89746FE}">
  <dimension ref="A1:K50"/>
  <sheetViews>
    <sheetView zoomScaleNormal="100" workbookViewId="0">
      <selection activeCell="F8" sqref="F8"/>
    </sheetView>
  </sheetViews>
  <sheetFormatPr defaultRowHeight="12.75"/>
  <cols>
    <col min="6" max="6" width="13.42578125" customWidth="1"/>
    <col min="11" max="11" width="12.42578125" customWidth="1"/>
  </cols>
  <sheetData>
    <row r="1" spans="1:11">
      <c r="F1" s="171" t="s">
        <v>617</v>
      </c>
      <c r="G1" s="159"/>
      <c r="J1" s="187"/>
      <c r="K1" s="193"/>
    </row>
    <row r="2" spans="1:11">
      <c r="G2" s="159"/>
      <c r="H2" s="171"/>
      <c r="I2" s="171"/>
      <c r="J2" s="159"/>
    </row>
    <row r="3" spans="1:11" ht="15">
      <c r="F3" s="172" t="s">
        <v>209</v>
      </c>
      <c r="H3" s="172"/>
      <c r="I3" s="172"/>
      <c r="J3" s="173"/>
    </row>
    <row r="4" spans="1:11">
      <c r="G4" s="159"/>
      <c r="H4" s="171"/>
      <c r="I4" s="171"/>
      <c r="J4" s="159"/>
    </row>
    <row r="5" spans="1:11">
      <c r="E5" s="174" t="s">
        <v>189</v>
      </c>
      <c r="F5" t="s">
        <v>207</v>
      </c>
    </row>
    <row r="6" spans="1:11">
      <c r="E6" s="174" t="s">
        <v>190</v>
      </c>
      <c r="F6" t="s">
        <v>208</v>
      </c>
    </row>
    <row r="7" spans="1:11">
      <c r="E7" s="174" t="s">
        <v>305</v>
      </c>
      <c r="F7" t="s">
        <v>309</v>
      </c>
    </row>
    <row r="8" spans="1:11">
      <c r="E8" s="174" t="s">
        <v>191</v>
      </c>
      <c r="F8" s="438" t="s">
        <v>718</v>
      </c>
    </row>
    <row r="9" spans="1:11">
      <c r="E9" s="174"/>
      <c r="F9" s="175"/>
    </row>
    <row r="10" spans="1:11" ht="15">
      <c r="A10" s="190" t="s">
        <v>132</v>
      </c>
    </row>
    <row r="11" spans="1:11">
      <c r="A11" s="84"/>
    </row>
    <row r="12" spans="1:11">
      <c r="A12" s="85"/>
    </row>
    <row r="13" spans="1:11">
      <c r="A13" s="91" t="s">
        <v>106</v>
      </c>
    </row>
    <row r="14" spans="1:11">
      <c r="A14" s="86"/>
    </row>
    <row r="15" spans="1:11" ht="13.5">
      <c r="A15" s="87" t="s">
        <v>158</v>
      </c>
    </row>
    <row r="16" spans="1:11" ht="13.5">
      <c r="A16" s="88" t="s">
        <v>159</v>
      </c>
    </row>
    <row r="17" spans="1:1">
      <c r="A17" s="88" t="s">
        <v>105</v>
      </c>
    </row>
    <row r="18" spans="1:1" ht="13.5">
      <c r="A18" s="89" t="s">
        <v>160</v>
      </c>
    </row>
    <row r="19" spans="1:1">
      <c r="A19" s="88"/>
    </row>
    <row r="20" spans="1:1">
      <c r="A20" s="90" t="s">
        <v>107</v>
      </c>
    </row>
    <row r="21" spans="1:1">
      <c r="A21" s="88" t="s">
        <v>117</v>
      </c>
    </row>
    <row r="22" spans="1:1" ht="13.5">
      <c r="A22" s="89" t="s">
        <v>161</v>
      </c>
    </row>
    <row r="23" spans="1:1">
      <c r="A23" s="85"/>
    </row>
    <row r="24" spans="1:1" ht="13.5">
      <c r="A24" s="91" t="s">
        <v>162</v>
      </c>
    </row>
    <row r="25" spans="1:1">
      <c r="A25" s="88" t="s">
        <v>108</v>
      </c>
    </row>
    <row r="26" spans="1:1">
      <c r="A26" s="85"/>
    </row>
    <row r="27" spans="1:1" ht="13.5">
      <c r="A27" s="91" t="s">
        <v>163</v>
      </c>
    </row>
    <row r="28" spans="1:1" ht="13.5">
      <c r="A28" s="89" t="s">
        <v>164</v>
      </c>
    </row>
    <row r="29" spans="1:1" ht="13.5">
      <c r="A29" s="88" t="s">
        <v>165</v>
      </c>
    </row>
    <row r="30" spans="1:1">
      <c r="A30" s="85"/>
    </row>
    <row r="31" spans="1:1" ht="13.5">
      <c r="A31" s="91" t="s">
        <v>166</v>
      </c>
    </row>
    <row r="32" spans="1:1" ht="13.5">
      <c r="A32" s="89" t="s">
        <v>167</v>
      </c>
    </row>
    <row r="33" spans="1:1">
      <c r="A33" s="84"/>
    </row>
    <row r="34" spans="1:1">
      <c r="A34" s="91" t="s">
        <v>34</v>
      </c>
    </row>
    <row r="35" spans="1:1" ht="13.5">
      <c r="A35" s="88" t="s">
        <v>168</v>
      </c>
    </row>
    <row r="36" spans="1:1">
      <c r="A36" s="89" t="s">
        <v>133</v>
      </c>
    </row>
    <row r="37" spans="1:1">
      <c r="A37" s="89" t="s">
        <v>35</v>
      </c>
    </row>
    <row r="38" spans="1:1">
      <c r="A38" s="88" t="s">
        <v>36</v>
      </c>
    </row>
    <row r="39" spans="1:1">
      <c r="A39" s="88" t="s">
        <v>112</v>
      </c>
    </row>
    <row r="40" spans="1:1" ht="13.5">
      <c r="A40" s="88" t="s">
        <v>169</v>
      </c>
    </row>
    <row r="41" spans="1:1">
      <c r="A41" s="84"/>
    </row>
    <row r="42" spans="1:1">
      <c r="A42" s="91" t="s">
        <v>37</v>
      </c>
    </row>
    <row r="43" spans="1:1" ht="13.5">
      <c r="A43" s="88" t="s">
        <v>170</v>
      </c>
    </row>
    <row r="44" spans="1:1">
      <c r="A44" s="89" t="s">
        <v>0</v>
      </c>
    </row>
    <row r="45" spans="1:1">
      <c r="A45" s="91" t="s">
        <v>38</v>
      </c>
    </row>
    <row r="46" spans="1:1">
      <c r="A46" s="89" t="s">
        <v>84</v>
      </c>
    </row>
    <row r="47" spans="1:1" ht="13.5">
      <c r="A47" s="88" t="s">
        <v>171</v>
      </c>
    </row>
    <row r="48" spans="1:1" ht="13.5">
      <c r="A48" s="88" t="s">
        <v>172</v>
      </c>
    </row>
    <row r="49" spans="1:1">
      <c r="A49" s="89" t="s">
        <v>133</v>
      </c>
    </row>
    <row r="50" spans="1:1">
      <c r="A50" s="88" t="s">
        <v>134</v>
      </c>
    </row>
  </sheetData>
  <phoneticPr fontId="0" type="noConversion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2ADA-EC83-4EC2-AAEA-362B02A43227}">
  <sheetPr>
    <pageSetUpPr fitToPage="1"/>
  </sheetPr>
  <dimension ref="A1:K107"/>
  <sheetViews>
    <sheetView zoomScale="130" zoomScaleNormal="130" workbookViewId="0">
      <selection activeCell="D8" sqref="D8"/>
    </sheetView>
  </sheetViews>
  <sheetFormatPr defaultRowHeight="12.75"/>
  <cols>
    <col min="1" max="1" width="35.7109375" customWidth="1"/>
    <col min="2" max="2" width="7.28515625" customWidth="1"/>
    <col min="3" max="3" width="8.42578125" customWidth="1"/>
    <col min="4" max="4" width="11.85546875" customWidth="1"/>
    <col min="5" max="6" width="9.28515625" bestFit="1" customWidth="1"/>
    <col min="7" max="7" width="12.140625" bestFit="1" customWidth="1"/>
    <col min="8" max="9" width="9.28515625" bestFit="1" customWidth="1"/>
    <col min="10" max="10" width="12.140625" bestFit="1" customWidth="1"/>
    <col min="11" max="11" width="14.28515625" customWidth="1"/>
  </cols>
  <sheetData>
    <row r="1" spans="1:11">
      <c r="E1" s="171" t="s">
        <v>617</v>
      </c>
      <c r="F1" s="159"/>
      <c r="J1" s="159"/>
      <c r="K1" s="193"/>
    </row>
    <row r="2" spans="1:11">
      <c r="F2" s="159"/>
      <c r="G2" s="171"/>
      <c r="H2" s="171"/>
      <c r="I2" s="171"/>
      <c r="J2" s="159"/>
    </row>
    <row r="3" spans="1:11" ht="15">
      <c r="E3" s="172" t="s">
        <v>197</v>
      </c>
      <c r="G3" s="172"/>
      <c r="H3" s="172"/>
      <c r="I3" s="172"/>
      <c r="J3" s="173"/>
    </row>
    <row r="4" spans="1:11">
      <c r="F4" s="159"/>
      <c r="G4" s="171"/>
      <c r="H4" s="171"/>
      <c r="I4" s="171"/>
      <c r="J4" s="159"/>
    </row>
    <row r="5" spans="1:11">
      <c r="C5" s="174" t="s">
        <v>189</v>
      </c>
      <c r="D5" t="s">
        <v>207</v>
      </c>
    </row>
    <row r="6" spans="1:11">
      <c r="C6" s="174" t="s">
        <v>190</v>
      </c>
      <c r="D6" t="s">
        <v>208</v>
      </c>
    </row>
    <row r="7" spans="1:11">
      <c r="C7" s="174" t="s">
        <v>305</v>
      </c>
      <c r="D7" t="s">
        <v>309</v>
      </c>
    </row>
    <row r="8" spans="1:11">
      <c r="C8" s="174" t="s">
        <v>191</v>
      </c>
      <c r="D8" s="438" t="s">
        <v>718</v>
      </c>
    </row>
    <row r="9" spans="1:11">
      <c r="D9" s="174"/>
      <c r="E9" s="175"/>
    </row>
    <row r="10" spans="1:11">
      <c r="A10" s="92" t="s">
        <v>77</v>
      </c>
      <c r="B10" s="93"/>
      <c r="C10" s="94"/>
      <c r="D10" s="176">
        <v>6000</v>
      </c>
      <c r="E10" s="177" t="s">
        <v>115</v>
      </c>
      <c r="F10" s="95"/>
      <c r="G10" s="95"/>
      <c r="H10" s="95"/>
      <c r="I10" s="96"/>
      <c r="J10" s="96"/>
      <c r="K10" s="97"/>
    </row>
    <row r="11" spans="1:11">
      <c r="A11" s="98"/>
      <c r="B11" s="99"/>
      <c r="C11" s="99"/>
      <c r="D11" s="100"/>
      <c r="E11" s="101"/>
      <c r="F11" s="95"/>
      <c r="G11" s="95"/>
      <c r="H11" s="95"/>
      <c r="I11" s="96"/>
      <c r="J11" s="96"/>
      <c r="K11" s="97"/>
    </row>
    <row r="12" spans="1:11">
      <c r="A12" s="102"/>
      <c r="B12" s="103"/>
      <c r="C12" s="103"/>
      <c r="D12" s="104"/>
      <c r="E12" s="105"/>
      <c r="F12" s="760" t="s">
        <v>130</v>
      </c>
      <c r="G12" s="761"/>
      <c r="H12" s="169"/>
      <c r="I12" s="106" t="s">
        <v>3</v>
      </c>
      <c r="J12" s="107"/>
      <c r="K12" s="108"/>
    </row>
    <row r="13" spans="1:11">
      <c r="A13" s="109" t="s">
        <v>0</v>
      </c>
      <c r="B13" s="110"/>
      <c r="C13" s="110"/>
      <c r="D13" s="111" t="s">
        <v>0</v>
      </c>
      <c r="E13" s="112" t="s">
        <v>4</v>
      </c>
      <c r="F13" s="762" t="s">
        <v>110</v>
      </c>
      <c r="G13" s="763"/>
      <c r="H13" s="112"/>
      <c r="I13" s="113" t="s">
        <v>6</v>
      </c>
      <c r="J13" s="114" t="s">
        <v>78</v>
      </c>
      <c r="K13" s="115"/>
    </row>
    <row r="14" spans="1:11" ht="13.5">
      <c r="A14" s="116" t="s">
        <v>7</v>
      </c>
      <c r="B14" s="117" t="s">
        <v>114</v>
      </c>
      <c r="C14" s="117" t="s">
        <v>87</v>
      </c>
      <c r="D14" s="117" t="s">
        <v>40</v>
      </c>
      <c r="E14" s="118" t="s">
        <v>8</v>
      </c>
      <c r="F14" s="118" t="s">
        <v>173</v>
      </c>
      <c r="G14" s="119" t="s">
        <v>103</v>
      </c>
      <c r="H14" s="170" t="s">
        <v>195</v>
      </c>
      <c r="I14" s="120" t="s">
        <v>39</v>
      </c>
      <c r="J14" s="121" t="s">
        <v>1</v>
      </c>
      <c r="K14" s="122" t="s">
        <v>9</v>
      </c>
    </row>
    <row r="15" spans="1:11">
      <c r="A15" s="123" t="s">
        <v>10</v>
      </c>
      <c r="B15" s="93" t="s">
        <v>11</v>
      </c>
      <c r="C15" s="304" t="s">
        <v>129</v>
      </c>
      <c r="D15" s="291" t="s">
        <v>41</v>
      </c>
      <c r="E15" s="292">
        <v>133.41</v>
      </c>
      <c r="F15" s="292">
        <v>0.48</v>
      </c>
      <c r="G15" s="291">
        <f>(((F15/1000000)*E15)/(0.7302*'Flare Criteria Pollutants'!$D$14))*60*$D$10</f>
        <v>6.0713734909297767E-2</v>
      </c>
      <c r="H15" s="293">
        <f>G15*4.38</f>
        <v>0.2659261589027242</v>
      </c>
      <c r="I15" s="124">
        <v>0.98</v>
      </c>
      <c r="J15" s="307">
        <f>G15*(1-I15)</f>
        <v>1.2142746981859565E-3</v>
      </c>
      <c r="K15" s="308">
        <f>J15*4.38</f>
        <v>5.318523178054489E-3</v>
      </c>
    </row>
    <row r="16" spans="1:11">
      <c r="A16" s="125" t="s">
        <v>12</v>
      </c>
      <c r="B16" s="93" t="s">
        <v>11</v>
      </c>
      <c r="C16" s="305" t="s">
        <v>11</v>
      </c>
      <c r="D16" s="294" t="s">
        <v>42</v>
      </c>
      <c r="E16" s="295">
        <v>167.85</v>
      </c>
      <c r="F16" s="295">
        <v>1.1100000000000001</v>
      </c>
      <c r="G16" s="291">
        <f>(((F16/1000000)*E16)/(0.7302*'Flare Criteria Pollutants'!$D$14))*60*$D$10</f>
        <v>0.17664512356993872</v>
      </c>
      <c r="H16" s="293">
        <f t="shared" ref="H16:H44" si="0">G16*4.38</f>
        <v>0.77370564123633156</v>
      </c>
      <c r="I16" s="126">
        <v>0.98</v>
      </c>
      <c r="J16" s="307">
        <f>G16*(1-I16)</f>
        <v>3.5329024713987777E-3</v>
      </c>
      <c r="K16" s="308">
        <f t="shared" ref="K16:K44" si="1">J16*4.38</f>
        <v>1.5474112824726646E-2</v>
      </c>
    </row>
    <row r="17" spans="1:11">
      <c r="A17" s="125" t="s">
        <v>119</v>
      </c>
      <c r="B17" s="93" t="s">
        <v>11</v>
      </c>
      <c r="C17" s="305" t="s">
        <v>11</v>
      </c>
      <c r="D17" s="294" t="s">
        <v>111</v>
      </c>
      <c r="E17" s="295">
        <v>133.41</v>
      </c>
      <c r="F17" s="295">
        <v>0.1</v>
      </c>
      <c r="G17" s="291">
        <f>(((F17/1000000)*E17)/(0.7302*'Flare Criteria Pollutants'!$D$14))*60*$D$10</f>
        <v>1.2648694772770372E-2</v>
      </c>
      <c r="H17" s="293">
        <f t="shared" si="0"/>
        <v>5.5401283104734231E-2</v>
      </c>
      <c r="I17" s="126">
        <v>0.98</v>
      </c>
      <c r="J17" s="307">
        <f>G17*(1-I17)</f>
        <v>2.5297389545540766E-4</v>
      </c>
      <c r="K17" s="308">
        <f t="shared" si="1"/>
        <v>1.1080256620946856E-3</v>
      </c>
    </row>
    <row r="18" spans="1:11">
      <c r="A18" s="125" t="s">
        <v>13</v>
      </c>
      <c r="B18" s="93" t="s">
        <v>11</v>
      </c>
      <c r="C18" s="305" t="s">
        <v>11</v>
      </c>
      <c r="D18" s="294" t="s">
        <v>43</v>
      </c>
      <c r="E18" s="295">
        <v>98.96</v>
      </c>
      <c r="F18" s="295">
        <v>2.35</v>
      </c>
      <c r="G18" s="291">
        <f>(((F18/1000000)*E18)/(0.7302*'Flare Criteria Pollutants'!$D$14))*60*$D$10</f>
        <v>0.22048795904177992</v>
      </c>
      <c r="H18" s="293">
        <f t="shared" si="0"/>
        <v>0.96573726060299603</v>
      </c>
      <c r="I18" s="126">
        <v>0.98</v>
      </c>
      <c r="J18" s="307">
        <f>G18*(1-I18)</f>
        <v>4.4097591808356026E-3</v>
      </c>
      <c r="K18" s="308">
        <f t="shared" si="1"/>
        <v>1.931474521205994E-2</v>
      </c>
    </row>
    <row r="19" spans="1:11">
      <c r="A19" s="125" t="s">
        <v>14</v>
      </c>
      <c r="B19" s="93" t="s">
        <v>11</v>
      </c>
      <c r="C19" s="305" t="s">
        <v>11</v>
      </c>
      <c r="D19" s="294" t="s">
        <v>80</v>
      </c>
      <c r="E19" s="295">
        <v>96.94</v>
      </c>
      <c r="F19" s="295">
        <v>0.20100000000000001</v>
      </c>
      <c r="G19" s="291">
        <f>(((F19/1000000)*E19)/(0.7302*'Flare Criteria Pollutants'!$D$14))*60*$D$10</f>
        <v>1.8473806965425704E-2</v>
      </c>
      <c r="H19" s="293">
        <f t="shared" si="0"/>
        <v>8.0915274508564575E-2</v>
      </c>
      <c r="I19" s="126">
        <v>0.98</v>
      </c>
      <c r="J19" s="307">
        <f t="shared" ref="J19:J34" si="2">G19*(1-I19)</f>
        <v>3.6947613930851442E-4</v>
      </c>
      <c r="K19" s="308">
        <f t="shared" si="1"/>
        <v>1.6183054901712931E-3</v>
      </c>
    </row>
    <row r="20" spans="1:11">
      <c r="A20" s="125" t="s">
        <v>15</v>
      </c>
      <c r="B20" s="93" t="s">
        <v>11</v>
      </c>
      <c r="C20" s="305" t="s">
        <v>11</v>
      </c>
      <c r="D20" s="294" t="s">
        <v>44</v>
      </c>
      <c r="E20" s="295">
        <v>98.96</v>
      </c>
      <c r="F20" s="295">
        <v>0.40699999999999997</v>
      </c>
      <c r="G20" s="291">
        <f>(((F20/1000000)*E20)/(0.7302*'Flare Criteria Pollutants'!$D$14))*60*$D$10</f>
        <v>3.8186638012767837E-2</v>
      </c>
      <c r="H20" s="293">
        <f t="shared" si="0"/>
        <v>0.16725747449592313</v>
      </c>
      <c r="I20" s="126">
        <v>0.98</v>
      </c>
      <c r="J20" s="307">
        <f t="shared" si="2"/>
        <v>7.6373276025535741E-4</v>
      </c>
      <c r="K20" s="308">
        <f t="shared" si="1"/>
        <v>3.3451494899184656E-3</v>
      </c>
    </row>
    <row r="21" spans="1:11">
      <c r="A21" s="125" t="s">
        <v>16</v>
      </c>
      <c r="B21" s="305" t="s">
        <v>11</v>
      </c>
      <c r="C21" s="305" t="s">
        <v>11</v>
      </c>
      <c r="D21" s="294" t="s">
        <v>45</v>
      </c>
      <c r="E21" s="295">
        <v>112.99</v>
      </c>
      <c r="F21" s="295">
        <v>0.18</v>
      </c>
      <c r="G21" s="291">
        <f>(((F21/1000000)*E21)/(0.7302*'Flare Criteria Pollutants'!$D$14))*60*$D$10</f>
        <v>1.9282788698565197E-2</v>
      </c>
      <c r="H21" s="293">
        <f t="shared" si="0"/>
        <v>8.4458614499715562E-2</v>
      </c>
      <c r="I21" s="126">
        <v>0.98</v>
      </c>
      <c r="J21" s="307">
        <f t="shared" si="2"/>
        <v>3.856557739713043E-4</v>
      </c>
      <c r="K21" s="308">
        <f t="shared" si="1"/>
        <v>1.6891722899943127E-3</v>
      </c>
    </row>
    <row r="22" spans="1:11">
      <c r="A22" s="125" t="s">
        <v>198</v>
      </c>
      <c r="B22" s="93" t="s">
        <v>11</v>
      </c>
      <c r="C22" s="305" t="s">
        <v>11</v>
      </c>
      <c r="D22" s="294" t="s">
        <v>46</v>
      </c>
      <c r="E22" s="295">
        <v>53.06</v>
      </c>
      <c r="F22" s="295">
        <v>6.33</v>
      </c>
      <c r="G22" s="291">
        <f>(((F22/1000000)*E22)/(0.7302*'Flare Criteria Pollutants'!$D$14))*60*$D$10</f>
        <v>0.31844049048732703</v>
      </c>
      <c r="H22" s="293">
        <f t="shared" si="0"/>
        <v>1.3947693483344923</v>
      </c>
      <c r="I22" s="126">
        <v>0.98</v>
      </c>
      <c r="J22" s="307">
        <f t="shared" si="2"/>
        <v>6.3688098097465463E-3</v>
      </c>
      <c r="K22" s="308">
        <f t="shared" si="1"/>
        <v>2.7895386966689872E-2</v>
      </c>
    </row>
    <row r="23" spans="1:11">
      <c r="A23" s="127" t="s">
        <v>17</v>
      </c>
      <c r="B23" s="93" t="s">
        <v>11</v>
      </c>
      <c r="C23" s="305" t="s">
        <v>11</v>
      </c>
      <c r="D23" s="294" t="s">
        <v>47</v>
      </c>
      <c r="E23" s="295">
        <v>78.12</v>
      </c>
      <c r="F23" s="296">
        <v>1.91</v>
      </c>
      <c r="G23" s="291">
        <f>(((F23/1000000)*E23)/(0.7302*'Flare Criteria Pollutants'!$D$14))*60*$D$10</f>
        <v>0.14146627899627082</v>
      </c>
      <c r="H23" s="293">
        <f t="shared" si="0"/>
        <v>0.61962230200366619</v>
      </c>
      <c r="I23" s="126">
        <v>0.98</v>
      </c>
      <c r="J23" s="307">
        <f t="shared" si="2"/>
        <v>2.829325579925419E-3</v>
      </c>
      <c r="K23" s="308">
        <f t="shared" si="1"/>
        <v>1.2392446040073335E-2</v>
      </c>
    </row>
    <row r="24" spans="1:11">
      <c r="A24" s="125" t="s">
        <v>18</v>
      </c>
      <c r="B24" s="93" t="s">
        <v>11</v>
      </c>
      <c r="C24" s="305" t="s">
        <v>11</v>
      </c>
      <c r="D24" s="294" t="s">
        <v>48</v>
      </c>
      <c r="E24" s="295">
        <v>76.14</v>
      </c>
      <c r="F24" s="295">
        <v>0.58299999999999996</v>
      </c>
      <c r="G24" s="291">
        <f>(((F24/1000000)*E24)/(0.7302*'Flare Criteria Pollutants'!$D$14))*60*$D$10</f>
        <v>4.2086107072877826E-2</v>
      </c>
      <c r="H24" s="293">
        <f t="shared" si="0"/>
        <v>0.18433714897920486</v>
      </c>
      <c r="I24" s="126">
        <v>0.98</v>
      </c>
      <c r="J24" s="307">
        <f t="shared" si="2"/>
        <v>8.417221414575573E-4</v>
      </c>
      <c r="K24" s="308">
        <f t="shared" si="1"/>
        <v>3.6867429795841007E-3</v>
      </c>
    </row>
    <row r="25" spans="1:11">
      <c r="A25" s="125" t="s">
        <v>19</v>
      </c>
      <c r="B25" s="93" t="s">
        <v>11</v>
      </c>
      <c r="C25" s="305" t="s">
        <v>11</v>
      </c>
      <c r="D25" s="294" t="s">
        <v>49</v>
      </c>
      <c r="E25" s="297">
        <v>153.84</v>
      </c>
      <c r="F25" s="298">
        <v>4.0000000000000001E-3</v>
      </c>
      <c r="G25" s="291">
        <f>(((F25/1000000)*E25)/(0.7302*'Flare Criteria Pollutants'!$D$14))*60*$D$10</f>
        <v>5.8342709057581711E-4</v>
      </c>
      <c r="H25" s="293">
        <f t="shared" si="0"/>
        <v>2.5554106567220788E-3</v>
      </c>
      <c r="I25" s="126">
        <v>0.98</v>
      </c>
      <c r="J25" s="307">
        <f t="shared" si="2"/>
        <v>1.1668541811516353E-5</v>
      </c>
      <c r="K25" s="308">
        <f t="shared" si="1"/>
        <v>5.1108213134441627E-5</v>
      </c>
    </row>
    <row r="26" spans="1:11">
      <c r="A26" s="125" t="s">
        <v>20</v>
      </c>
      <c r="B26" s="305" t="s">
        <v>11</v>
      </c>
      <c r="C26" s="306" t="s">
        <v>11</v>
      </c>
      <c r="D26" s="294" t="s">
        <v>50</v>
      </c>
      <c r="E26" s="295">
        <v>60.07</v>
      </c>
      <c r="F26" s="295">
        <v>0.49</v>
      </c>
      <c r="G26" s="291">
        <f>(((F26/1000000)*E26)/(0.7302*'Flare Criteria Pollutants'!$D$14))*60*$D$10</f>
        <v>2.7906864294292396E-2</v>
      </c>
      <c r="H26" s="293">
        <f t="shared" si="0"/>
        <v>0.1222320656090007</v>
      </c>
      <c r="I26" s="126">
        <v>0.98</v>
      </c>
      <c r="J26" s="307">
        <f t="shared" si="2"/>
        <v>5.5813728588584841E-4</v>
      </c>
      <c r="K26" s="308">
        <f t="shared" si="1"/>
        <v>2.4446413121800158E-3</v>
      </c>
    </row>
    <row r="27" spans="1:11">
      <c r="A27" s="125" t="s">
        <v>120</v>
      </c>
      <c r="B27" s="305" t="s">
        <v>11</v>
      </c>
      <c r="C27" s="306" t="s">
        <v>11</v>
      </c>
      <c r="D27" s="294" t="s">
        <v>51</v>
      </c>
      <c r="E27" s="295">
        <v>112.56</v>
      </c>
      <c r="F27" s="295">
        <v>0.254</v>
      </c>
      <c r="G27" s="291">
        <f>(((F27/1000000)*E27)/(0.7302*'Flare Criteria Pollutants'!$D$14))*60*$D$10</f>
        <v>2.7106605145060369E-2</v>
      </c>
      <c r="H27" s="293">
        <f t="shared" si="0"/>
        <v>0.11872693053536441</v>
      </c>
      <c r="I27" s="126">
        <v>0.98</v>
      </c>
      <c r="J27" s="307">
        <f t="shared" si="2"/>
        <v>5.4213210290120781E-4</v>
      </c>
      <c r="K27" s="308">
        <f t="shared" si="1"/>
        <v>2.3745386107072901E-3</v>
      </c>
    </row>
    <row r="28" spans="1:11">
      <c r="A28" s="125" t="s">
        <v>21</v>
      </c>
      <c r="B28" s="305" t="s">
        <v>11</v>
      </c>
      <c r="C28" s="306" t="s">
        <v>11</v>
      </c>
      <c r="D28" s="294" t="s">
        <v>52</v>
      </c>
      <c r="E28" s="295">
        <v>64.52</v>
      </c>
      <c r="F28" s="295">
        <v>1.25</v>
      </c>
      <c r="G28" s="291">
        <f>(((F28/1000000)*E28)/(0.7302*'Flare Criteria Pollutants'!$D$14))*60*$D$10</f>
        <v>7.6464825232286218E-2</v>
      </c>
      <c r="H28" s="293">
        <f t="shared" si="0"/>
        <v>0.33491593451741364</v>
      </c>
      <c r="I28" s="126">
        <v>0.98</v>
      </c>
      <c r="J28" s="307">
        <f t="shared" si="2"/>
        <v>1.5292965046457257E-3</v>
      </c>
      <c r="K28" s="308">
        <f t="shared" si="1"/>
        <v>6.6983186903482785E-3</v>
      </c>
    </row>
    <row r="29" spans="1:11">
      <c r="A29" s="125" t="s">
        <v>121</v>
      </c>
      <c r="B29" s="305" t="s">
        <v>11</v>
      </c>
      <c r="C29" s="306" t="s">
        <v>11</v>
      </c>
      <c r="D29" s="294" t="s">
        <v>53</v>
      </c>
      <c r="E29" s="295">
        <v>119.38</v>
      </c>
      <c r="F29" s="295">
        <v>0.03</v>
      </c>
      <c r="G29" s="291">
        <f>(((F29/1000000)*E29)/(0.7302*'Flare Criteria Pollutants'!$D$14))*60*$D$10</f>
        <v>3.3955502180645978E-3</v>
      </c>
      <c r="H29" s="293">
        <f t="shared" si="0"/>
        <v>1.4872509955122938E-2</v>
      </c>
      <c r="I29" s="126">
        <v>0.98</v>
      </c>
      <c r="J29" s="307">
        <f t="shared" si="2"/>
        <v>6.7911004361292015E-5</v>
      </c>
      <c r="K29" s="308">
        <f t="shared" si="1"/>
        <v>2.9745019910245901E-4</v>
      </c>
    </row>
    <row r="30" spans="1:11">
      <c r="A30" s="125" t="s">
        <v>81</v>
      </c>
      <c r="B30" s="305" t="s">
        <v>11</v>
      </c>
      <c r="C30" s="306" t="s">
        <v>11</v>
      </c>
      <c r="D30" s="294" t="s">
        <v>54</v>
      </c>
      <c r="E30" s="295">
        <v>50.49</v>
      </c>
      <c r="F30" s="295">
        <v>1.21</v>
      </c>
      <c r="G30" s="291">
        <f>(((F30/1000000)*E30)/(0.7302*'Flare Criteria Pollutants'!$D$14))*60*$D$10</f>
        <v>5.7922602869603698E-2</v>
      </c>
      <c r="H30" s="293">
        <f t="shared" si="0"/>
        <v>0.25370100056886419</v>
      </c>
      <c r="I30" s="126">
        <v>0.98</v>
      </c>
      <c r="J30" s="307">
        <f t="shared" si="2"/>
        <v>1.158452057392075E-3</v>
      </c>
      <c r="K30" s="308">
        <f t="shared" si="1"/>
        <v>5.0740200113772883E-3</v>
      </c>
    </row>
    <row r="31" spans="1:11">
      <c r="A31" s="125" t="s">
        <v>122</v>
      </c>
      <c r="B31" s="305" t="s">
        <v>11</v>
      </c>
      <c r="C31" s="306" t="s">
        <v>11</v>
      </c>
      <c r="D31" s="294" t="s">
        <v>55</v>
      </c>
      <c r="E31" s="299">
        <v>147</v>
      </c>
      <c r="F31" s="295">
        <v>0.21299999999999999</v>
      </c>
      <c r="G31" s="291">
        <f>(((F31/1000000)*E31)/(0.7302*'Flare Criteria Pollutants'!$D$14))*60*$D$10</f>
        <v>2.9686176600720569E-2</v>
      </c>
      <c r="H31" s="293">
        <f t="shared" si="0"/>
        <v>0.13002545351115607</v>
      </c>
      <c r="I31" s="126">
        <v>0.98</v>
      </c>
      <c r="J31" s="307">
        <f t="shared" si="2"/>
        <v>5.937235320144119E-4</v>
      </c>
      <c r="K31" s="308">
        <f t="shared" si="1"/>
        <v>2.6005090702231242E-3</v>
      </c>
    </row>
    <row r="32" spans="1:11">
      <c r="A32" s="125" t="s">
        <v>22</v>
      </c>
      <c r="B32" s="305" t="s">
        <v>11</v>
      </c>
      <c r="C32" s="99" t="s">
        <v>129</v>
      </c>
      <c r="D32" s="294" t="s">
        <v>56</v>
      </c>
      <c r="E32" s="295">
        <v>84.93</v>
      </c>
      <c r="F32" s="300">
        <v>14.3</v>
      </c>
      <c r="G32" s="291">
        <f>(((F32/1000000)*E32)/(0.7302*'Flare Criteria Pollutants'!$D$14))*60*$D$10</f>
        <v>1.1514749383730487</v>
      </c>
      <c r="H32" s="293">
        <f t="shared" si="0"/>
        <v>5.0434602300739533</v>
      </c>
      <c r="I32" s="126">
        <v>0.98</v>
      </c>
      <c r="J32" s="307">
        <f t="shared" si="2"/>
        <v>2.3029498767460993E-2</v>
      </c>
      <c r="K32" s="308">
        <f t="shared" si="1"/>
        <v>0.10086920460147915</v>
      </c>
    </row>
    <row r="33" spans="1:11" ht="13.5">
      <c r="A33" s="125" t="s">
        <v>174</v>
      </c>
      <c r="B33" s="305" t="s">
        <v>11</v>
      </c>
      <c r="C33" s="306" t="s">
        <v>11</v>
      </c>
      <c r="D33" s="294" t="s">
        <v>59</v>
      </c>
      <c r="E33" s="295">
        <v>106.17</v>
      </c>
      <c r="F33" s="295">
        <v>4.6100000000000003</v>
      </c>
      <c r="G33" s="291">
        <f>(((F33/1000000)*E33)/(0.7302*'Flare Criteria Pollutants'!$D$14))*60*$D$10</f>
        <v>0.46404497187282734</v>
      </c>
      <c r="H33" s="293">
        <f t="shared" si="0"/>
        <v>2.0325169768029836</v>
      </c>
      <c r="I33" s="126">
        <v>0.98</v>
      </c>
      <c r="J33" s="307">
        <f t="shared" si="2"/>
        <v>9.2808994374565558E-3</v>
      </c>
      <c r="K33" s="308">
        <f t="shared" si="1"/>
        <v>4.0650339536059711E-2</v>
      </c>
    </row>
    <row r="34" spans="1:11">
      <c r="A34" s="127" t="s">
        <v>123</v>
      </c>
      <c r="B34" s="305" t="s">
        <v>11</v>
      </c>
      <c r="C34" s="306" t="s">
        <v>11</v>
      </c>
      <c r="D34" s="294" t="s">
        <v>60</v>
      </c>
      <c r="E34" s="295">
        <v>187.88</v>
      </c>
      <c r="F34" s="298">
        <v>1E-3</v>
      </c>
      <c r="G34" s="291">
        <f>(((F34/1000000)*E34)/(0.7302*'Flare Criteria Pollutants'!$D$14))*60*$D$10</f>
        <v>1.7813033310157389E-4</v>
      </c>
      <c r="H34" s="293">
        <f t="shared" si="0"/>
        <v>7.8021085898489356E-4</v>
      </c>
      <c r="I34" s="126">
        <v>0.98</v>
      </c>
      <c r="J34" s="307">
        <f t="shared" si="2"/>
        <v>3.5626066620314811E-6</v>
      </c>
      <c r="K34" s="308">
        <f t="shared" si="1"/>
        <v>1.5604217179697886E-5</v>
      </c>
    </row>
    <row r="35" spans="1:11">
      <c r="A35" s="125" t="s">
        <v>25</v>
      </c>
      <c r="B35" s="305" t="s">
        <v>11</v>
      </c>
      <c r="C35" s="306" t="s">
        <v>11</v>
      </c>
      <c r="D35" s="294" t="s">
        <v>61</v>
      </c>
      <c r="E35" s="295">
        <v>86.18</v>
      </c>
      <c r="F35" s="295">
        <v>6.57</v>
      </c>
      <c r="G35" s="291">
        <f>(((F35/1000000)*E35)/(0.7302*'Flare Criteria Pollutants'!$D$14))*60*$D$10</f>
        <v>0.53682061816572924</v>
      </c>
      <c r="H35" s="293">
        <f t="shared" si="0"/>
        <v>2.3512743075658942</v>
      </c>
      <c r="I35" s="126">
        <v>0.98</v>
      </c>
      <c r="J35" s="307">
        <f t="shared" ref="J35:J44" si="3">G35*(1-I35)</f>
        <v>1.0736412363314594E-2</v>
      </c>
      <c r="K35" s="308">
        <f t="shared" si="1"/>
        <v>4.7025486151317922E-2</v>
      </c>
    </row>
    <row r="36" spans="1:11">
      <c r="A36" s="125" t="s">
        <v>27</v>
      </c>
      <c r="B36" s="305" t="s">
        <v>11</v>
      </c>
      <c r="C36" s="99" t="s">
        <v>129</v>
      </c>
      <c r="D36" s="294" t="s">
        <v>63</v>
      </c>
      <c r="E36" s="295">
        <v>200.61</v>
      </c>
      <c r="F36" s="301">
        <v>2.92E-4</v>
      </c>
      <c r="G36" s="291">
        <f>(((F36/1000000)*E36)/(0.7302*'Flare Criteria Pollutants'!$D$14))*60*$D$10</f>
        <v>5.5538322482776061E-5</v>
      </c>
      <c r="H36" s="293">
        <f t="shared" si="0"/>
        <v>2.4325785247455913E-4</v>
      </c>
      <c r="I36" s="128">
        <v>0</v>
      </c>
      <c r="J36" s="307">
        <f t="shared" si="3"/>
        <v>5.5538322482776061E-5</v>
      </c>
      <c r="K36" s="308">
        <f t="shared" si="1"/>
        <v>2.4325785247455913E-4</v>
      </c>
    </row>
    <row r="37" spans="1:11">
      <c r="A37" s="125" t="s">
        <v>82</v>
      </c>
      <c r="B37" s="305" t="s">
        <v>11</v>
      </c>
      <c r="C37" s="306" t="s">
        <v>11</v>
      </c>
      <c r="D37" s="294" t="s">
        <v>64</v>
      </c>
      <c r="E37" s="295">
        <v>72.11</v>
      </c>
      <c r="F37" s="295">
        <v>7.09</v>
      </c>
      <c r="G37" s="291">
        <f>(((F37/1000000)*E37)/(0.7302*'Flare Criteria Pollutants'!$D$14))*60*$D$10</f>
        <v>0.48472906263826571</v>
      </c>
      <c r="H37" s="293">
        <f t="shared" si="0"/>
        <v>2.1231132943556039</v>
      </c>
      <c r="I37" s="126">
        <v>0.98</v>
      </c>
      <c r="J37" s="307">
        <f t="shared" si="3"/>
        <v>9.6945812527653233E-3</v>
      </c>
      <c r="K37" s="308">
        <f t="shared" si="1"/>
        <v>4.2462265887112112E-2</v>
      </c>
    </row>
    <row r="38" spans="1:11">
      <c r="A38" s="125" t="s">
        <v>83</v>
      </c>
      <c r="B38" s="305" t="s">
        <v>11</v>
      </c>
      <c r="C38" s="306" t="s">
        <v>11</v>
      </c>
      <c r="D38" s="294" t="s">
        <v>65</v>
      </c>
      <c r="E38" s="295">
        <v>100.16</v>
      </c>
      <c r="F38" s="295">
        <v>1.87</v>
      </c>
      <c r="G38" s="291">
        <f>(((F38/1000000)*E38)/(0.7302*'Flare Criteria Pollutants'!$D$14))*60*$D$10</f>
        <v>0.17757967258706786</v>
      </c>
      <c r="H38" s="293">
        <f t="shared" si="0"/>
        <v>0.77779896593135722</v>
      </c>
      <c r="I38" s="126">
        <v>0.98</v>
      </c>
      <c r="J38" s="307">
        <f t="shared" si="3"/>
        <v>3.5515934517413605E-3</v>
      </c>
      <c r="K38" s="308">
        <f t="shared" si="1"/>
        <v>1.5555979318627159E-2</v>
      </c>
    </row>
    <row r="39" spans="1:11">
      <c r="A39" s="125" t="s">
        <v>124</v>
      </c>
      <c r="B39" s="93" t="s">
        <v>11</v>
      </c>
      <c r="C39" s="305" t="s">
        <v>11</v>
      </c>
      <c r="D39" s="294" t="s">
        <v>67</v>
      </c>
      <c r="E39" s="295">
        <v>165.83</v>
      </c>
      <c r="F39" s="295">
        <v>3.73</v>
      </c>
      <c r="G39" s="291">
        <f>(((F39/1000000)*E39)/(0.7302*'Flare Criteria Pollutants'!$D$14))*60*$D$10</f>
        <v>0.58644766449655539</v>
      </c>
      <c r="H39" s="293">
        <f t="shared" si="0"/>
        <v>2.5686407704949126</v>
      </c>
      <c r="I39" s="126">
        <v>0.98</v>
      </c>
      <c r="J39" s="307">
        <f t="shared" si="3"/>
        <v>1.1728953289931118E-2</v>
      </c>
      <c r="K39" s="308">
        <f t="shared" si="1"/>
        <v>5.1372815409898291E-2</v>
      </c>
    </row>
    <row r="40" spans="1:11">
      <c r="A40" s="127" t="s">
        <v>125</v>
      </c>
      <c r="B40" s="93" t="s">
        <v>11</v>
      </c>
      <c r="C40" s="305" t="s">
        <v>11</v>
      </c>
      <c r="D40" s="294" t="s">
        <v>68</v>
      </c>
      <c r="E40" s="297">
        <v>92.14</v>
      </c>
      <c r="F40" s="300">
        <v>39.299999999999997</v>
      </c>
      <c r="G40" s="302">
        <f>(((F40/1000000)*E40)/(0.7302*'Flare Criteria Pollutants'!$D$14))*60*$D$10</f>
        <v>3.4331919600530947</v>
      </c>
      <c r="H40" s="303">
        <f t="shared" si="0"/>
        <v>15.037380785032555</v>
      </c>
      <c r="I40" s="126">
        <v>0.98</v>
      </c>
      <c r="J40" s="307">
        <f t="shared" si="3"/>
        <v>6.8663839201061949E-2</v>
      </c>
      <c r="K40" s="308">
        <f t="shared" si="1"/>
        <v>0.30074761570065134</v>
      </c>
    </row>
    <row r="41" spans="1:11">
      <c r="A41" s="125" t="s">
        <v>29</v>
      </c>
      <c r="B41" s="93" t="s">
        <v>11</v>
      </c>
      <c r="C41" s="305" t="s">
        <v>11</v>
      </c>
      <c r="D41" s="294" t="s">
        <v>69</v>
      </c>
      <c r="E41" s="295">
        <v>131.38</v>
      </c>
      <c r="F41" s="295">
        <v>2.82</v>
      </c>
      <c r="G41" s="291">
        <f>(((F41/1000000)*E41)/(0.7302*'Flare Criteria Pollutants'!$D$14))*60*$D$10</f>
        <v>0.35126565956639905</v>
      </c>
      <c r="H41" s="293">
        <f t="shared" si="0"/>
        <v>1.5385435889008279</v>
      </c>
      <c r="I41" s="126">
        <v>0.98</v>
      </c>
      <c r="J41" s="307">
        <f t="shared" si="3"/>
        <v>7.0253131913279874E-3</v>
      </c>
      <c r="K41" s="308">
        <f t="shared" si="1"/>
        <v>3.0770871778016583E-2</v>
      </c>
    </row>
    <row r="42" spans="1:11">
      <c r="A42" s="125" t="s">
        <v>126</v>
      </c>
      <c r="B42" s="93" t="s">
        <v>11</v>
      </c>
      <c r="C42" s="305" t="s">
        <v>11</v>
      </c>
      <c r="D42" s="294" t="s">
        <v>70</v>
      </c>
      <c r="E42" s="295">
        <v>62.5</v>
      </c>
      <c r="F42" s="295">
        <v>7.34</v>
      </c>
      <c r="G42" s="291">
        <f>(((F42/1000000)*E42)/(0.7302*'Flare Criteria Pollutants'!$D$14))*60*$D$10</f>
        <v>0.4349440616901587</v>
      </c>
      <c r="H42" s="293">
        <f t="shared" si="0"/>
        <v>1.905054990202895</v>
      </c>
      <c r="I42" s="126">
        <v>0.98</v>
      </c>
      <c r="J42" s="307">
        <f t="shared" si="3"/>
        <v>8.698881233803182E-3</v>
      </c>
      <c r="K42" s="308">
        <f t="shared" si="1"/>
        <v>3.8101099804057938E-2</v>
      </c>
    </row>
    <row r="43" spans="1:11">
      <c r="A43" s="127" t="s">
        <v>127</v>
      </c>
      <c r="B43" s="93" t="s">
        <v>11</v>
      </c>
      <c r="C43" s="305" t="s">
        <v>11</v>
      </c>
      <c r="D43" s="294" t="s">
        <v>71</v>
      </c>
      <c r="E43" s="295">
        <v>106.17</v>
      </c>
      <c r="F43" s="300">
        <v>12.1</v>
      </c>
      <c r="G43" s="291">
        <f>(((F43/1000000)*E43)/(0.7302*'Flare Criteria Pollutants'!$D$14))*60*$D$10</f>
        <v>1.2179922255230391</v>
      </c>
      <c r="H43" s="293">
        <f t="shared" si="0"/>
        <v>5.3348059477909109</v>
      </c>
      <c r="I43" s="126">
        <v>0.98</v>
      </c>
      <c r="J43" s="307">
        <f t="shared" si="3"/>
        <v>2.4359844510460804E-2</v>
      </c>
      <c r="K43" s="308">
        <f t="shared" si="1"/>
        <v>0.10669611895581832</v>
      </c>
    </row>
    <row r="44" spans="1:11">
      <c r="A44" s="127" t="s">
        <v>128</v>
      </c>
      <c r="B44" s="306" t="s">
        <v>11</v>
      </c>
      <c r="C44" s="99" t="s">
        <v>129</v>
      </c>
      <c r="D44" s="294" t="s">
        <v>79</v>
      </c>
      <c r="E44" s="295">
        <v>36.5</v>
      </c>
      <c r="F44" s="300">
        <v>42</v>
      </c>
      <c r="G44" s="291">
        <f>(((F44/1000000)*E44)/(0.7302*'Flare Criteria Pollutants'!$D$14))*60*$D$10</f>
        <v>1.4534479489286392</v>
      </c>
      <c r="H44" s="293">
        <f t="shared" si="0"/>
        <v>6.3661020163074395</v>
      </c>
      <c r="I44" s="128">
        <v>0</v>
      </c>
      <c r="J44" s="309">
        <f t="shared" si="3"/>
        <v>1.4534479489286392</v>
      </c>
      <c r="K44" s="310">
        <f t="shared" si="1"/>
        <v>6.3661020163074395</v>
      </c>
    </row>
    <row r="45" spans="1:11" ht="13.5">
      <c r="A45" s="577" t="s">
        <v>624</v>
      </c>
      <c r="B45" s="578"/>
      <c r="C45" s="578"/>
      <c r="D45" s="579"/>
      <c r="E45" s="580"/>
      <c r="F45" s="581" t="s">
        <v>333</v>
      </c>
      <c r="G45" s="580">
        <f>SUM(G15:G44)</f>
        <v>11.563670126528034</v>
      </c>
      <c r="H45" s="582">
        <f>SUM(H15:H44)</f>
        <v>50.648875154192787</v>
      </c>
      <c r="I45" s="583" t="s">
        <v>192</v>
      </c>
      <c r="J45" s="582">
        <f>SUM(J15:J44)</f>
        <v>1.6557068200366603</v>
      </c>
      <c r="K45" s="584">
        <f>J45*4.38</f>
        <v>7.2519958717605721</v>
      </c>
    </row>
    <row r="46" spans="1:11">
      <c r="A46" s="585" t="s">
        <v>104</v>
      </c>
      <c r="B46" s="586"/>
      <c r="C46" s="587"/>
      <c r="D46" s="588"/>
      <c r="E46" s="589"/>
      <c r="F46" s="589"/>
      <c r="G46" s="589">
        <f>G40</f>
        <v>3.4331919600530947</v>
      </c>
      <c r="H46" s="590">
        <f>H40</f>
        <v>15.037380785032555</v>
      </c>
      <c r="I46" s="591"/>
      <c r="J46" s="590">
        <f>J44</f>
        <v>1.4534479489286392</v>
      </c>
      <c r="K46" s="592">
        <f>4.38*J46</f>
        <v>6.3661020163074395</v>
      </c>
    </row>
    <row r="47" spans="1:11">
      <c r="A47" s="593" t="s">
        <v>625</v>
      </c>
      <c r="B47" s="594"/>
      <c r="C47" s="594"/>
      <c r="D47" s="595"/>
      <c r="E47" s="596"/>
      <c r="F47" s="596"/>
      <c r="G47" s="596"/>
      <c r="H47" s="596"/>
      <c r="I47" s="597"/>
      <c r="J47" s="598"/>
      <c r="K47" s="598"/>
    </row>
    <row r="48" spans="1:11">
      <c r="A48" s="599" t="s">
        <v>626</v>
      </c>
      <c r="B48" s="594"/>
      <c r="C48" s="594"/>
      <c r="D48" s="595"/>
      <c r="E48" s="596"/>
      <c r="F48" s="596"/>
      <c r="G48" s="596"/>
      <c r="H48" s="596"/>
      <c r="I48" s="597"/>
      <c r="J48" s="598"/>
      <c r="K48" s="598"/>
    </row>
    <row r="49" spans="1:11">
      <c r="A49" s="600" t="s">
        <v>131</v>
      </c>
      <c r="B49" s="594"/>
      <c r="C49" s="594"/>
      <c r="D49" s="595"/>
      <c r="E49" s="596"/>
      <c r="F49" s="596"/>
      <c r="G49" s="596"/>
      <c r="H49" s="596"/>
      <c r="I49" s="597"/>
      <c r="J49" s="598"/>
      <c r="K49" s="598"/>
    </row>
    <row r="50" spans="1:11">
      <c r="A50" s="601" t="s">
        <v>627</v>
      </c>
      <c r="B50" s="594"/>
      <c r="C50" s="594"/>
      <c r="D50" s="595"/>
      <c r="E50" s="596"/>
      <c r="F50" s="596"/>
      <c r="G50" s="596"/>
      <c r="H50" s="596"/>
      <c r="I50" s="597"/>
      <c r="J50" s="598"/>
      <c r="K50" s="598"/>
    </row>
    <row r="51" spans="1:11">
      <c r="A51" s="601" t="s">
        <v>628</v>
      </c>
      <c r="B51" s="594"/>
      <c r="C51" s="594"/>
      <c r="D51" s="595"/>
      <c r="E51" s="596"/>
      <c r="F51" s="596"/>
      <c r="G51" s="596"/>
      <c r="H51" s="596"/>
      <c r="I51" s="597"/>
      <c r="J51" s="598"/>
      <c r="K51" s="598"/>
    </row>
    <row r="52" spans="1:11">
      <c r="A52" s="593" t="s">
        <v>629</v>
      </c>
      <c r="B52" s="602"/>
      <c r="C52" s="602"/>
      <c r="D52" s="603"/>
      <c r="E52" s="604"/>
      <c r="F52" s="598"/>
      <c r="G52" s="598"/>
      <c r="H52" s="598"/>
      <c r="I52" s="605"/>
      <c r="J52" s="606"/>
      <c r="K52" s="606"/>
    </row>
    <row r="53" spans="1:11">
      <c r="A53" s="593" t="s">
        <v>332</v>
      </c>
      <c r="B53" s="602"/>
      <c r="C53" s="602"/>
      <c r="D53" s="607"/>
      <c r="E53" s="604"/>
      <c r="F53" s="598"/>
      <c r="G53" s="598"/>
      <c r="H53" s="598"/>
      <c r="I53" s="605"/>
      <c r="J53" s="605"/>
      <c r="K53" s="608"/>
    </row>
    <row r="54" spans="1:11" ht="13.5">
      <c r="A54" s="609" t="s">
        <v>630</v>
      </c>
      <c r="B54" s="602"/>
      <c r="C54" s="602"/>
      <c r="D54" s="610"/>
      <c r="E54" s="604"/>
      <c r="F54" s="598"/>
      <c r="G54" s="598"/>
      <c r="H54" s="598"/>
      <c r="I54" s="605"/>
      <c r="J54" s="605"/>
      <c r="K54" s="608"/>
    </row>
    <row r="55" spans="1:11" ht="13.5">
      <c r="A55" s="609" t="s">
        <v>631</v>
      </c>
      <c r="B55" s="611"/>
      <c r="C55" s="611"/>
      <c r="D55" s="612"/>
      <c r="E55" s="613"/>
      <c r="F55" s="598"/>
      <c r="G55" s="598"/>
      <c r="H55" s="598"/>
      <c r="I55" s="605"/>
      <c r="J55" s="605"/>
      <c r="K55" s="608"/>
    </row>
    <row r="56" spans="1:11" ht="13.5">
      <c r="A56" s="154"/>
      <c r="B56" s="156"/>
      <c r="C56" s="156"/>
      <c r="D56" s="157"/>
      <c r="E56" s="158"/>
      <c r="F56" s="149"/>
      <c r="G56" s="149"/>
      <c r="H56" s="149"/>
      <c r="I56" s="150"/>
      <c r="J56" s="150"/>
      <c r="K56" s="153"/>
    </row>
    <row r="57" spans="1:11" ht="13.5">
      <c r="A57" s="154"/>
      <c r="B57" s="156"/>
      <c r="C57" s="156"/>
      <c r="D57" s="157"/>
      <c r="E57" s="158"/>
      <c r="F57" s="149"/>
      <c r="G57" s="149"/>
      <c r="H57" s="149"/>
      <c r="I57" s="150"/>
      <c r="J57" s="150"/>
      <c r="K57" s="153"/>
    </row>
    <row r="58" spans="1:11" ht="13.5">
      <c r="A58" s="154"/>
      <c r="B58" s="156"/>
      <c r="C58" s="156"/>
      <c r="D58" s="157"/>
      <c r="E58" s="158"/>
      <c r="F58" s="149"/>
      <c r="G58" s="149"/>
      <c r="H58" s="149"/>
      <c r="I58" s="150"/>
      <c r="J58" s="150"/>
      <c r="K58" s="153"/>
    </row>
    <row r="59" spans="1:11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</row>
    <row r="62" spans="1:11">
      <c r="A62" s="92" t="s">
        <v>77</v>
      </c>
      <c r="B62" s="93"/>
      <c r="C62" s="94"/>
      <c r="D62" s="176">
        <v>8000</v>
      </c>
      <c r="E62" s="177" t="s">
        <v>115</v>
      </c>
      <c r="F62" s="95"/>
      <c r="G62" s="95"/>
      <c r="H62" s="95"/>
      <c r="I62" s="96"/>
      <c r="J62" s="96"/>
      <c r="K62" s="97"/>
    </row>
    <row r="63" spans="1:11">
      <c r="A63" s="98"/>
      <c r="B63" s="99"/>
      <c r="C63" s="99"/>
      <c r="D63" s="100"/>
      <c r="E63" s="101"/>
      <c r="F63" s="95"/>
      <c r="G63" s="95"/>
      <c r="H63" s="95"/>
      <c r="I63" s="96"/>
      <c r="J63" s="96"/>
      <c r="K63" s="97"/>
    </row>
    <row r="64" spans="1:11">
      <c r="A64" s="102"/>
      <c r="B64" s="103"/>
      <c r="C64" s="103"/>
      <c r="D64" s="104"/>
      <c r="E64" s="105"/>
      <c r="F64" s="760" t="s">
        <v>130</v>
      </c>
      <c r="G64" s="761"/>
      <c r="H64" s="169"/>
      <c r="I64" s="106" t="s">
        <v>3</v>
      </c>
      <c r="J64" s="107"/>
      <c r="K64" s="108"/>
    </row>
    <row r="65" spans="1:11">
      <c r="A65" s="109" t="s">
        <v>0</v>
      </c>
      <c r="B65" s="110"/>
      <c r="C65" s="110"/>
      <c r="D65" s="111" t="s">
        <v>0</v>
      </c>
      <c r="E65" s="112" t="s">
        <v>4</v>
      </c>
      <c r="F65" s="762" t="s">
        <v>110</v>
      </c>
      <c r="G65" s="763"/>
      <c r="H65" s="112"/>
      <c r="I65" s="113" t="s">
        <v>6</v>
      </c>
      <c r="J65" s="114" t="s">
        <v>78</v>
      </c>
      <c r="K65" s="115"/>
    </row>
    <row r="66" spans="1:11" ht="13.5">
      <c r="A66" s="116" t="s">
        <v>7</v>
      </c>
      <c r="B66" s="117" t="s">
        <v>114</v>
      </c>
      <c r="C66" s="117" t="s">
        <v>87</v>
      </c>
      <c r="D66" s="117" t="s">
        <v>40</v>
      </c>
      <c r="E66" s="118" t="s">
        <v>8</v>
      </c>
      <c r="F66" s="118" t="s">
        <v>173</v>
      </c>
      <c r="G66" s="119" t="s">
        <v>103</v>
      </c>
      <c r="H66" s="170" t="s">
        <v>195</v>
      </c>
      <c r="I66" s="120" t="s">
        <v>39</v>
      </c>
      <c r="J66" s="121" t="s">
        <v>1</v>
      </c>
      <c r="K66" s="122" t="s">
        <v>9</v>
      </c>
    </row>
    <row r="67" spans="1:11">
      <c r="A67" s="123" t="s">
        <v>10</v>
      </c>
      <c r="B67" s="93" t="s">
        <v>11</v>
      </c>
      <c r="C67" s="304" t="s">
        <v>129</v>
      </c>
      <c r="D67" s="291" t="s">
        <v>41</v>
      </c>
      <c r="E67" s="292">
        <v>133.41</v>
      </c>
      <c r="F67" s="292">
        <v>0.48</v>
      </c>
      <c r="G67" s="291">
        <f>(((F67/1000000)*E67)/(0.7302*'Flare Criteria Pollutants'!$D$14))*60*$D$62</f>
        <v>8.0951646545730352E-2</v>
      </c>
      <c r="H67" s="293">
        <f>G67*4.38</f>
        <v>0.35456821187029891</v>
      </c>
      <c r="I67" s="124">
        <v>0.98</v>
      </c>
      <c r="J67" s="307">
        <f>G67*(1-I67)</f>
        <v>1.6190329309146085E-3</v>
      </c>
      <c r="K67" s="308">
        <f>J67*4.38</f>
        <v>7.0913642374059848E-3</v>
      </c>
    </row>
    <row r="68" spans="1:11">
      <c r="A68" s="125" t="s">
        <v>12</v>
      </c>
      <c r="B68" s="93" t="s">
        <v>11</v>
      </c>
      <c r="C68" s="305" t="s">
        <v>11</v>
      </c>
      <c r="D68" s="294" t="s">
        <v>42</v>
      </c>
      <c r="E68" s="295">
        <v>167.85</v>
      </c>
      <c r="F68" s="295">
        <v>1.1100000000000001</v>
      </c>
      <c r="G68" s="291">
        <f>(((F68/1000000)*E68)/(0.7302*'Flare Criteria Pollutants'!$D$14))*60*$D$62</f>
        <v>0.23552683142658498</v>
      </c>
      <c r="H68" s="293">
        <f t="shared" ref="H68:H96" si="4">G68*4.38</f>
        <v>1.0316075216484422</v>
      </c>
      <c r="I68" s="126">
        <v>0.98</v>
      </c>
      <c r="J68" s="307">
        <f>G68*(1-I68)</f>
        <v>4.7105366285317037E-3</v>
      </c>
      <c r="K68" s="308">
        <f t="shared" ref="K68:K96" si="5">J68*4.38</f>
        <v>2.0632150432968861E-2</v>
      </c>
    </row>
    <row r="69" spans="1:11">
      <c r="A69" s="125" t="s">
        <v>119</v>
      </c>
      <c r="B69" s="93" t="s">
        <v>11</v>
      </c>
      <c r="C69" s="305" t="s">
        <v>11</v>
      </c>
      <c r="D69" s="294" t="s">
        <v>111</v>
      </c>
      <c r="E69" s="295">
        <v>133.41</v>
      </c>
      <c r="F69" s="295">
        <v>0.1</v>
      </c>
      <c r="G69" s="291">
        <f>(((F69/1000000)*E69)/(0.7302*'Flare Criteria Pollutants'!$D$14))*60*$D$62</f>
        <v>1.6864926363693831E-2</v>
      </c>
      <c r="H69" s="293">
        <f t="shared" si="4"/>
        <v>7.3868377472978974E-2</v>
      </c>
      <c r="I69" s="126">
        <v>0.98</v>
      </c>
      <c r="J69" s="307">
        <f>G69*(1-I69)</f>
        <v>3.3729852727387694E-4</v>
      </c>
      <c r="K69" s="308">
        <f t="shared" si="5"/>
        <v>1.477367549459581E-3</v>
      </c>
    </row>
    <row r="70" spans="1:11">
      <c r="A70" s="125" t="s">
        <v>13</v>
      </c>
      <c r="B70" s="93" t="s">
        <v>11</v>
      </c>
      <c r="C70" s="305" t="s">
        <v>11</v>
      </c>
      <c r="D70" s="294" t="s">
        <v>43</v>
      </c>
      <c r="E70" s="295">
        <v>98.96</v>
      </c>
      <c r="F70" s="295">
        <v>2.35</v>
      </c>
      <c r="G70" s="291">
        <f>(((F70/1000000)*E70)/(0.7302*'Flare Criteria Pollutants'!$D$14))*60*$D$62</f>
        <v>0.29398394538903988</v>
      </c>
      <c r="H70" s="293">
        <f t="shared" si="4"/>
        <v>1.2876496808039946</v>
      </c>
      <c r="I70" s="126">
        <v>0.98</v>
      </c>
      <c r="J70" s="307">
        <f>G70*(1-I70)</f>
        <v>5.8796789077808029E-3</v>
      </c>
      <c r="K70" s="308">
        <f t="shared" si="5"/>
        <v>2.5752993616079915E-2</v>
      </c>
    </row>
    <row r="71" spans="1:11">
      <c r="A71" s="125" t="s">
        <v>14</v>
      </c>
      <c r="B71" s="93" t="s">
        <v>11</v>
      </c>
      <c r="C71" s="305" t="s">
        <v>11</v>
      </c>
      <c r="D71" s="294" t="s">
        <v>80</v>
      </c>
      <c r="E71" s="295">
        <v>96.94</v>
      </c>
      <c r="F71" s="295">
        <v>0.20100000000000001</v>
      </c>
      <c r="G71" s="291">
        <f>(((F71/1000000)*E71)/(0.7302*'Flare Criteria Pollutants'!$D$14))*60*$D$62</f>
        <v>2.4631742620567606E-2</v>
      </c>
      <c r="H71" s="293">
        <f t="shared" si="4"/>
        <v>0.10788703267808611</v>
      </c>
      <c r="I71" s="126">
        <v>0.98</v>
      </c>
      <c r="J71" s="307">
        <f t="shared" ref="J71:J96" si="6">G71*(1-I71)</f>
        <v>4.9263485241135259E-4</v>
      </c>
      <c r="K71" s="308">
        <f t="shared" si="5"/>
        <v>2.1577406535617243E-3</v>
      </c>
    </row>
    <row r="72" spans="1:11">
      <c r="A72" s="125" t="s">
        <v>15</v>
      </c>
      <c r="B72" s="93" t="s">
        <v>11</v>
      </c>
      <c r="C72" s="305" t="s">
        <v>11</v>
      </c>
      <c r="D72" s="294" t="s">
        <v>44</v>
      </c>
      <c r="E72" s="295">
        <v>98.96</v>
      </c>
      <c r="F72" s="295">
        <v>0.40699999999999997</v>
      </c>
      <c r="G72" s="291">
        <f>(((F72/1000000)*E72)/(0.7302*'Flare Criteria Pollutants'!$D$14))*60*$D$62</f>
        <v>5.0915517350357119E-2</v>
      </c>
      <c r="H72" s="293">
        <f t="shared" si="4"/>
        <v>0.22300996599456419</v>
      </c>
      <c r="I72" s="126">
        <v>0.98</v>
      </c>
      <c r="J72" s="307">
        <f t="shared" si="6"/>
        <v>1.0183103470071432E-3</v>
      </c>
      <c r="K72" s="308">
        <f t="shared" si="5"/>
        <v>4.4601993198912868E-3</v>
      </c>
    </row>
    <row r="73" spans="1:11">
      <c r="A73" s="125" t="s">
        <v>16</v>
      </c>
      <c r="B73" s="305" t="s">
        <v>11</v>
      </c>
      <c r="C73" s="305" t="s">
        <v>11</v>
      </c>
      <c r="D73" s="294" t="s">
        <v>45</v>
      </c>
      <c r="E73" s="295">
        <v>112.99</v>
      </c>
      <c r="F73" s="295">
        <v>0.18</v>
      </c>
      <c r="G73" s="291">
        <f>(((F73/1000000)*E73)/(0.7302*'Flare Criteria Pollutants'!$D$14))*60*$D$62</f>
        <v>2.5710384931420263E-2</v>
      </c>
      <c r="H73" s="293">
        <f t="shared" si="4"/>
        <v>0.11261148599962074</v>
      </c>
      <c r="I73" s="126">
        <v>0.98</v>
      </c>
      <c r="J73" s="307">
        <f t="shared" si="6"/>
        <v>5.142076986284057E-4</v>
      </c>
      <c r="K73" s="308">
        <f t="shared" si="5"/>
        <v>2.2522297199924169E-3</v>
      </c>
    </row>
    <row r="74" spans="1:11">
      <c r="A74" s="125" t="s">
        <v>198</v>
      </c>
      <c r="B74" s="93" t="s">
        <v>11</v>
      </c>
      <c r="C74" s="305" t="s">
        <v>11</v>
      </c>
      <c r="D74" s="294" t="s">
        <v>46</v>
      </c>
      <c r="E74" s="295">
        <v>53.06</v>
      </c>
      <c r="F74" s="295">
        <v>6.33</v>
      </c>
      <c r="G74" s="291">
        <f>(((F74/1000000)*E74)/(0.7302*'Flare Criteria Pollutants'!$D$14))*60*$D$62</f>
        <v>0.4245873206497694</v>
      </c>
      <c r="H74" s="293">
        <f t="shared" si="4"/>
        <v>1.85969246444599</v>
      </c>
      <c r="I74" s="126">
        <v>0.98</v>
      </c>
      <c r="J74" s="307">
        <f t="shared" si="6"/>
        <v>8.4917464129953962E-3</v>
      </c>
      <c r="K74" s="308">
        <f t="shared" si="5"/>
        <v>3.7193849288919834E-2</v>
      </c>
    </row>
    <row r="75" spans="1:11">
      <c r="A75" s="127" t="s">
        <v>17</v>
      </c>
      <c r="B75" s="93" t="s">
        <v>11</v>
      </c>
      <c r="C75" s="305" t="s">
        <v>11</v>
      </c>
      <c r="D75" s="294" t="s">
        <v>47</v>
      </c>
      <c r="E75" s="295">
        <v>78.12</v>
      </c>
      <c r="F75" s="296">
        <v>1.91</v>
      </c>
      <c r="G75" s="291">
        <f>(((F75/1000000)*E75)/(0.7302*'Flare Criteria Pollutants'!$D$14))*60*$D$62</f>
        <v>0.18862170532836106</v>
      </c>
      <c r="H75" s="293">
        <f t="shared" si="4"/>
        <v>0.82616306933822148</v>
      </c>
      <c r="I75" s="126">
        <v>0.98</v>
      </c>
      <c r="J75" s="307">
        <f t="shared" si="6"/>
        <v>3.7724341065672245E-3</v>
      </c>
      <c r="K75" s="308">
        <f t="shared" si="5"/>
        <v>1.6523261386764444E-2</v>
      </c>
    </row>
    <row r="76" spans="1:11">
      <c r="A76" s="125" t="s">
        <v>18</v>
      </c>
      <c r="B76" s="93" t="s">
        <v>11</v>
      </c>
      <c r="C76" s="305" t="s">
        <v>11</v>
      </c>
      <c r="D76" s="294" t="s">
        <v>48</v>
      </c>
      <c r="E76" s="295">
        <v>76.14</v>
      </c>
      <c r="F76" s="295">
        <v>0.58299999999999996</v>
      </c>
      <c r="G76" s="291">
        <f>(((F76/1000000)*E76)/(0.7302*'Flare Criteria Pollutants'!$D$14))*60*$D$62</f>
        <v>5.6114809430503766E-2</v>
      </c>
      <c r="H76" s="293">
        <f t="shared" si="4"/>
        <v>0.2457828653056065</v>
      </c>
      <c r="I76" s="126">
        <v>0.98</v>
      </c>
      <c r="J76" s="307">
        <f t="shared" si="6"/>
        <v>1.1222961886100764E-3</v>
      </c>
      <c r="K76" s="308">
        <f t="shared" si="5"/>
        <v>4.9156573061121343E-3</v>
      </c>
    </row>
    <row r="77" spans="1:11">
      <c r="A77" s="125" t="s">
        <v>19</v>
      </c>
      <c r="B77" s="93" t="s">
        <v>11</v>
      </c>
      <c r="C77" s="305" t="s">
        <v>11</v>
      </c>
      <c r="D77" s="294" t="s">
        <v>49</v>
      </c>
      <c r="E77" s="297">
        <v>153.84</v>
      </c>
      <c r="F77" s="298">
        <v>4.0000000000000001E-3</v>
      </c>
      <c r="G77" s="291">
        <f>(((F77/1000000)*E77)/(0.7302*'Flare Criteria Pollutants'!$D$14))*60*$D$62</f>
        <v>7.7790278743442281E-4</v>
      </c>
      <c r="H77" s="293">
        <f t="shared" si="4"/>
        <v>3.407214208962772E-3</v>
      </c>
      <c r="I77" s="126">
        <v>0.98</v>
      </c>
      <c r="J77" s="307">
        <f t="shared" si="6"/>
        <v>1.5558055748688471E-5</v>
      </c>
      <c r="K77" s="308">
        <f t="shared" si="5"/>
        <v>6.8144284179255503E-5</v>
      </c>
    </row>
    <row r="78" spans="1:11">
      <c r="A78" s="125" t="s">
        <v>20</v>
      </c>
      <c r="B78" s="305" t="s">
        <v>11</v>
      </c>
      <c r="C78" s="306" t="s">
        <v>11</v>
      </c>
      <c r="D78" s="294" t="s">
        <v>50</v>
      </c>
      <c r="E78" s="295">
        <v>60.07</v>
      </c>
      <c r="F78" s="295">
        <v>0.49</v>
      </c>
      <c r="G78" s="291">
        <f>(((F78/1000000)*E78)/(0.7302*'Flare Criteria Pollutants'!$D$14))*60*$D$62</f>
        <v>3.7209152392389859E-2</v>
      </c>
      <c r="H78" s="293">
        <f t="shared" si="4"/>
        <v>0.16297608747866757</v>
      </c>
      <c r="I78" s="126">
        <v>0.98</v>
      </c>
      <c r="J78" s="307">
        <f t="shared" si="6"/>
        <v>7.4418304784779781E-4</v>
      </c>
      <c r="K78" s="308">
        <f t="shared" si="5"/>
        <v>3.2595217495733544E-3</v>
      </c>
    </row>
    <row r="79" spans="1:11">
      <c r="A79" s="125" t="s">
        <v>120</v>
      </c>
      <c r="B79" s="305" t="s">
        <v>11</v>
      </c>
      <c r="C79" s="306" t="s">
        <v>11</v>
      </c>
      <c r="D79" s="294" t="s">
        <v>51</v>
      </c>
      <c r="E79" s="295">
        <v>112.56</v>
      </c>
      <c r="F79" s="295">
        <v>0.254</v>
      </c>
      <c r="G79" s="291">
        <f>(((F79/1000000)*E79)/(0.7302*'Flare Criteria Pollutants'!$D$14))*60*$D$62</f>
        <v>3.6142140193413823E-2</v>
      </c>
      <c r="H79" s="293">
        <f t="shared" si="4"/>
        <v>0.15830257404715253</v>
      </c>
      <c r="I79" s="126">
        <v>0.98</v>
      </c>
      <c r="J79" s="307">
        <f t="shared" si="6"/>
        <v>7.2284280386827708E-4</v>
      </c>
      <c r="K79" s="308">
        <f t="shared" si="5"/>
        <v>3.1660514809430536E-3</v>
      </c>
    </row>
    <row r="80" spans="1:11">
      <c r="A80" s="125" t="s">
        <v>21</v>
      </c>
      <c r="B80" s="305" t="s">
        <v>11</v>
      </c>
      <c r="C80" s="306" t="s">
        <v>11</v>
      </c>
      <c r="D80" s="294" t="s">
        <v>52</v>
      </c>
      <c r="E80" s="295">
        <v>64.52</v>
      </c>
      <c r="F80" s="295">
        <v>1.25</v>
      </c>
      <c r="G80" s="291">
        <f>(((F80/1000000)*E80)/(0.7302*'Flare Criteria Pollutants'!$D$14))*60*$D$62</f>
        <v>0.10195310030971495</v>
      </c>
      <c r="H80" s="293">
        <f t="shared" si="4"/>
        <v>0.44655457935655146</v>
      </c>
      <c r="I80" s="126">
        <v>0.98</v>
      </c>
      <c r="J80" s="307">
        <f t="shared" si="6"/>
        <v>2.0390620061943011E-3</v>
      </c>
      <c r="K80" s="308">
        <f t="shared" si="5"/>
        <v>8.9310915871310386E-3</v>
      </c>
    </row>
    <row r="81" spans="1:11">
      <c r="A81" s="125" t="s">
        <v>121</v>
      </c>
      <c r="B81" s="305" t="s">
        <v>11</v>
      </c>
      <c r="C81" s="306" t="s">
        <v>11</v>
      </c>
      <c r="D81" s="294" t="s">
        <v>53</v>
      </c>
      <c r="E81" s="295">
        <v>119.38</v>
      </c>
      <c r="F81" s="295">
        <v>0.03</v>
      </c>
      <c r="G81" s="291">
        <f>(((F81/1000000)*E81)/(0.7302*'Flare Criteria Pollutants'!$D$14))*60*$D$62</f>
        <v>4.5274002907527968E-3</v>
      </c>
      <c r="H81" s="293">
        <f t="shared" si="4"/>
        <v>1.983001327349725E-2</v>
      </c>
      <c r="I81" s="126">
        <v>0.98</v>
      </c>
      <c r="J81" s="307">
        <f t="shared" si="6"/>
        <v>9.0548005815056012E-5</v>
      </c>
      <c r="K81" s="308">
        <f t="shared" si="5"/>
        <v>3.9660026546994533E-4</v>
      </c>
    </row>
    <row r="82" spans="1:11">
      <c r="A82" s="125" t="s">
        <v>81</v>
      </c>
      <c r="B82" s="305" t="s">
        <v>11</v>
      </c>
      <c r="C82" s="306" t="s">
        <v>11</v>
      </c>
      <c r="D82" s="294" t="s">
        <v>54</v>
      </c>
      <c r="E82" s="295">
        <v>50.49</v>
      </c>
      <c r="F82" s="295">
        <v>1.21</v>
      </c>
      <c r="G82" s="291">
        <f>(((F82/1000000)*E82)/(0.7302*'Flare Criteria Pollutants'!$D$14))*60*$D$62</f>
        <v>7.7230137159471593E-2</v>
      </c>
      <c r="H82" s="293">
        <f t="shared" si="4"/>
        <v>0.33826800075848557</v>
      </c>
      <c r="I82" s="126">
        <v>0.98</v>
      </c>
      <c r="J82" s="307">
        <f t="shared" si="6"/>
        <v>1.5446027431894331E-3</v>
      </c>
      <c r="K82" s="308">
        <f t="shared" si="5"/>
        <v>6.7653600151697168E-3</v>
      </c>
    </row>
    <row r="83" spans="1:11">
      <c r="A83" s="125" t="s">
        <v>122</v>
      </c>
      <c r="B83" s="305" t="s">
        <v>11</v>
      </c>
      <c r="C83" s="306" t="s">
        <v>11</v>
      </c>
      <c r="D83" s="294" t="s">
        <v>55</v>
      </c>
      <c r="E83" s="299">
        <v>147</v>
      </c>
      <c r="F83" s="295">
        <v>0.21299999999999999</v>
      </c>
      <c r="G83" s="291">
        <f>(((F83/1000000)*E83)/(0.7302*'Flare Criteria Pollutants'!$D$14))*60*$D$62</f>
        <v>3.9581568800960761E-2</v>
      </c>
      <c r="H83" s="293">
        <f t="shared" si="4"/>
        <v>0.17336727134820812</v>
      </c>
      <c r="I83" s="126">
        <v>0.98</v>
      </c>
      <c r="J83" s="307">
        <f t="shared" si="6"/>
        <v>7.9163137601921587E-4</v>
      </c>
      <c r="K83" s="308">
        <f t="shared" si="5"/>
        <v>3.4673454269641656E-3</v>
      </c>
    </row>
    <row r="84" spans="1:11">
      <c r="A84" s="125" t="s">
        <v>22</v>
      </c>
      <c r="B84" s="305" t="s">
        <v>11</v>
      </c>
      <c r="C84" s="99" t="s">
        <v>129</v>
      </c>
      <c r="D84" s="294" t="s">
        <v>56</v>
      </c>
      <c r="E84" s="295">
        <v>84.93</v>
      </c>
      <c r="F84" s="300">
        <v>14.3</v>
      </c>
      <c r="G84" s="291">
        <f>(((F84/1000000)*E84)/(0.7302*'Flare Criteria Pollutants'!$D$14))*60*$D$62</f>
        <v>1.5352999178307318</v>
      </c>
      <c r="H84" s="293">
        <f t="shared" si="4"/>
        <v>6.724613640098605</v>
      </c>
      <c r="I84" s="126">
        <v>0.98</v>
      </c>
      <c r="J84" s="307">
        <f t="shared" si="6"/>
        <v>3.0705998356614663E-2</v>
      </c>
      <c r="K84" s="308">
        <f t="shared" si="5"/>
        <v>0.13449227280197223</v>
      </c>
    </row>
    <row r="85" spans="1:11" ht="13.5">
      <c r="A85" s="125" t="s">
        <v>174</v>
      </c>
      <c r="B85" s="305" t="s">
        <v>11</v>
      </c>
      <c r="C85" s="306" t="s">
        <v>11</v>
      </c>
      <c r="D85" s="294" t="s">
        <v>59</v>
      </c>
      <c r="E85" s="295">
        <v>106.17</v>
      </c>
      <c r="F85" s="295">
        <v>4.6100000000000003</v>
      </c>
      <c r="G85" s="291">
        <f>(((F85/1000000)*E85)/(0.7302*'Flare Criteria Pollutants'!$D$14))*60*$D$62</f>
        <v>0.61872662916376975</v>
      </c>
      <c r="H85" s="293">
        <f t="shared" si="4"/>
        <v>2.7100226357373116</v>
      </c>
      <c r="I85" s="126">
        <v>0.98</v>
      </c>
      <c r="J85" s="307">
        <f t="shared" si="6"/>
        <v>1.2374532583275406E-2</v>
      </c>
      <c r="K85" s="308">
        <f t="shared" si="5"/>
        <v>5.4200452714746279E-2</v>
      </c>
    </row>
    <row r="86" spans="1:11">
      <c r="A86" s="127" t="s">
        <v>123</v>
      </c>
      <c r="B86" s="305" t="s">
        <v>11</v>
      </c>
      <c r="C86" s="306" t="s">
        <v>11</v>
      </c>
      <c r="D86" s="294" t="s">
        <v>60</v>
      </c>
      <c r="E86" s="295">
        <v>187.88</v>
      </c>
      <c r="F86" s="298">
        <v>1E-3</v>
      </c>
      <c r="G86" s="291">
        <f>(((F86/1000000)*E86)/(0.7302*'Flare Criteria Pollutants'!$D$14))*60*$D$62</f>
        <v>2.3750711080209854E-4</v>
      </c>
      <c r="H86" s="293">
        <f t="shared" si="4"/>
        <v>1.0402811453131915E-3</v>
      </c>
      <c r="I86" s="126">
        <v>0.98</v>
      </c>
      <c r="J86" s="307">
        <f t="shared" si="6"/>
        <v>4.750142216041975E-6</v>
      </c>
      <c r="K86" s="308">
        <f t="shared" si="5"/>
        <v>2.080562290626385E-5</v>
      </c>
    </row>
    <row r="87" spans="1:11">
      <c r="A87" s="125" t="s">
        <v>25</v>
      </c>
      <c r="B87" s="305" t="s">
        <v>11</v>
      </c>
      <c r="C87" s="306" t="s">
        <v>11</v>
      </c>
      <c r="D87" s="294" t="s">
        <v>61</v>
      </c>
      <c r="E87" s="295">
        <v>86.18</v>
      </c>
      <c r="F87" s="295">
        <v>6.57</v>
      </c>
      <c r="G87" s="291">
        <f>(((F87/1000000)*E87)/(0.7302*'Flare Criteria Pollutants'!$D$14))*60*$D$62</f>
        <v>0.71576082422097231</v>
      </c>
      <c r="H87" s="293">
        <f t="shared" si="4"/>
        <v>3.1350324100878586</v>
      </c>
      <c r="I87" s="126">
        <v>0.98</v>
      </c>
      <c r="J87" s="307">
        <f t="shared" si="6"/>
        <v>1.431521648441946E-2</v>
      </c>
      <c r="K87" s="308">
        <f t="shared" si="5"/>
        <v>6.2700648201757234E-2</v>
      </c>
    </row>
    <row r="88" spans="1:11">
      <c r="A88" s="125" t="s">
        <v>27</v>
      </c>
      <c r="B88" s="305" t="s">
        <v>11</v>
      </c>
      <c r="C88" s="99" t="s">
        <v>129</v>
      </c>
      <c r="D88" s="294" t="s">
        <v>63</v>
      </c>
      <c r="E88" s="295">
        <v>200.61</v>
      </c>
      <c r="F88" s="301">
        <v>2.92E-4</v>
      </c>
      <c r="G88" s="291">
        <f>(((F88/1000000)*E88)/(0.7302*'Flare Criteria Pollutants'!$D$14))*60*$D$62</f>
        <v>7.405109664370141E-5</v>
      </c>
      <c r="H88" s="293">
        <f t="shared" si="4"/>
        <v>3.2434380329941217E-4</v>
      </c>
      <c r="I88" s="128">
        <v>0</v>
      </c>
      <c r="J88" s="307">
        <f t="shared" si="6"/>
        <v>7.405109664370141E-5</v>
      </c>
      <c r="K88" s="308">
        <f t="shared" si="5"/>
        <v>3.2434380329941217E-4</v>
      </c>
    </row>
    <row r="89" spans="1:11">
      <c r="A89" s="125" t="s">
        <v>82</v>
      </c>
      <c r="B89" s="305" t="s">
        <v>11</v>
      </c>
      <c r="C89" s="306" t="s">
        <v>11</v>
      </c>
      <c r="D89" s="294" t="s">
        <v>64</v>
      </c>
      <c r="E89" s="295">
        <v>72.11</v>
      </c>
      <c r="F89" s="295">
        <v>7.09</v>
      </c>
      <c r="G89" s="291">
        <f>(((F89/1000000)*E89)/(0.7302*'Flare Criteria Pollutants'!$D$14))*60*$D$62</f>
        <v>0.64630541685102094</v>
      </c>
      <c r="H89" s="293">
        <f t="shared" si="4"/>
        <v>2.8308177258074716</v>
      </c>
      <c r="I89" s="126">
        <v>0.98</v>
      </c>
      <c r="J89" s="307">
        <f t="shared" si="6"/>
        <v>1.2926108337020431E-2</v>
      </c>
      <c r="K89" s="308">
        <f t="shared" si="5"/>
        <v>5.6616354516149485E-2</v>
      </c>
    </row>
    <row r="90" spans="1:11">
      <c r="A90" s="125" t="s">
        <v>83</v>
      </c>
      <c r="B90" s="305" t="s">
        <v>11</v>
      </c>
      <c r="C90" s="306" t="s">
        <v>11</v>
      </c>
      <c r="D90" s="294" t="s">
        <v>65</v>
      </c>
      <c r="E90" s="295">
        <v>100.16</v>
      </c>
      <c r="F90" s="295">
        <v>1.87</v>
      </c>
      <c r="G90" s="291">
        <f>(((F90/1000000)*E90)/(0.7302*'Flare Criteria Pollutants'!$D$14))*60*$D$62</f>
        <v>0.23677289678275712</v>
      </c>
      <c r="H90" s="293">
        <f t="shared" si="4"/>
        <v>1.0370652879084761</v>
      </c>
      <c r="I90" s="126">
        <v>0.98</v>
      </c>
      <c r="J90" s="307">
        <f t="shared" si="6"/>
        <v>4.7354579356551465E-3</v>
      </c>
      <c r="K90" s="308">
        <f t="shared" si="5"/>
        <v>2.0741305758169543E-2</v>
      </c>
    </row>
    <row r="91" spans="1:11">
      <c r="A91" s="125" t="s">
        <v>124</v>
      </c>
      <c r="B91" s="93" t="s">
        <v>11</v>
      </c>
      <c r="C91" s="305" t="s">
        <v>11</v>
      </c>
      <c r="D91" s="294" t="s">
        <v>67</v>
      </c>
      <c r="E91" s="295">
        <v>165.83</v>
      </c>
      <c r="F91" s="295">
        <v>3.73</v>
      </c>
      <c r="G91" s="291">
        <f>(((F91/1000000)*E91)/(0.7302*'Flare Criteria Pollutants'!$D$14))*60*$D$62</f>
        <v>0.78193021932874052</v>
      </c>
      <c r="H91" s="293">
        <f t="shared" si="4"/>
        <v>3.4248543606598836</v>
      </c>
      <c r="I91" s="126">
        <v>0.98</v>
      </c>
      <c r="J91" s="307">
        <f t="shared" si="6"/>
        <v>1.5638604386574825E-2</v>
      </c>
      <c r="K91" s="308">
        <f t="shared" si="5"/>
        <v>6.8497087213197735E-2</v>
      </c>
    </row>
    <row r="92" spans="1:11">
      <c r="A92" s="127" t="s">
        <v>125</v>
      </c>
      <c r="B92" s="93" t="s">
        <v>11</v>
      </c>
      <c r="C92" s="305" t="s">
        <v>11</v>
      </c>
      <c r="D92" s="294" t="s">
        <v>68</v>
      </c>
      <c r="E92" s="297">
        <v>92.14</v>
      </c>
      <c r="F92" s="300">
        <v>39.299999999999997</v>
      </c>
      <c r="G92" s="302">
        <f>(((F92/1000000)*E92)/(0.7302*'Flare Criteria Pollutants'!$D$14))*60*$D$62</f>
        <v>4.5775892800707929</v>
      </c>
      <c r="H92" s="303">
        <f t="shared" si="4"/>
        <v>20.049841046710071</v>
      </c>
      <c r="I92" s="126">
        <v>0.98</v>
      </c>
      <c r="J92" s="307">
        <f t="shared" si="6"/>
        <v>9.1551785601415941E-2</v>
      </c>
      <c r="K92" s="308">
        <f t="shared" si="5"/>
        <v>0.4009968209342018</v>
      </c>
    </row>
    <row r="93" spans="1:11">
      <c r="A93" s="125" t="s">
        <v>29</v>
      </c>
      <c r="B93" s="93" t="s">
        <v>11</v>
      </c>
      <c r="C93" s="305" t="s">
        <v>11</v>
      </c>
      <c r="D93" s="294" t="s">
        <v>69</v>
      </c>
      <c r="E93" s="295">
        <v>131.38</v>
      </c>
      <c r="F93" s="295">
        <v>2.82</v>
      </c>
      <c r="G93" s="291">
        <f>(((F93/1000000)*E93)/(0.7302*'Flare Criteria Pollutants'!$D$14))*60*$D$62</f>
        <v>0.46835421275519873</v>
      </c>
      <c r="H93" s="293">
        <f t="shared" si="4"/>
        <v>2.0513914518677705</v>
      </c>
      <c r="I93" s="126">
        <v>0.98</v>
      </c>
      <c r="J93" s="307">
        <f t="shared" si="6"/>
        <v>9.3670842551039826E-3</v>
      </c>
      <c r="K93" s="308">
        <f t="shared" si="5"/>
        <v>4.102782903735544E-2</v>
      </c>
    </row>
    <row r="94" spans="1:11">
      <c r="A94" s="125" t="s">
        <v>126</v>
      </c>
      <c r="B94" s="93" t="s">
        <v>11</v>
      </c>
      <c r="C94" s="305" t="s">
        <v>11</v>
      </c>
      <c r="D94" s="294" t="s">
        <v>70</v>
      </c>
      <c r="E94" s="295">
        <v>62.5</v>
      </c>
      <c r="F94" s="295">
        <v>7.34</v>
      </c>
      <c r="G94" s="291">
        <f>(((F94/1000000)*E94)/(0.7302*'Flare Criteria Pollutants'!$D$14))*60*$D$62</f>
        <v>0.57992541558687827</v>
      </c>
      <c r="H94" s="293">
        <f t="shared" si="4"/>
        <v>2.5400733202705266</v>
      </c>
      <c r="I94" s="126">
        <v>0.98</v>
      </c>
      <c r="J94" s="307">
        <f t="shared" si="6"/>
        <v>1.1598508311737575E-2</v>
      </c>
      <c r="K94" s="308">
        <f t="shared" si="5"/>
        <v>5.0801466405410577E-2</v>
      </c>
    </row>
    <row r="95" spans="1:11">
      <c r="A95" s="127" t="s">
        <v>127</v>
      </c>
      <c r="B95" s="93" t="s">
        <v>11</v>
      </c>
      <c r="C95" s="305" t="s">
        <v>11</v>
      </c>
      <c r="D95" s="294" t="s">
        <v>71</v>
      </c>
      <c r="E95" s="295">
        <v>106.17</v>
      </c>
      <c r="F95" s="300">
        <v>12.1</v>
      </c>
      <c r="G95" s="291">
        <f>(((F95/1000000)*E95)/(0.7302*'Flare Criteria Pollutants'!$D$14))*60*$D$62</f>
        <v>1.6239896340307189</v>
      </c>
      <c r="H95" s="293">
        <f t="shared" si="4"/>
        <v>7.113074597054549</v>
      </c>
      <c r="I95" s="126">
        <v>0.98</v>
      </c>
      <c r="J95" s="307">
        <f t="shared" si="6"/>
        <v>3.2479792680614405E-2</v>
      </c>
      <c r="K95" s="308">
        <f t="shared" si="5"/>
        <v>0.14226149194109108</v>
      </c>
    </row>
    <row r="96" spans="1:11">
      <c r="A96" s="127" t="s">
        <v>128</v>
      </c>
      <c r="B96" s="306" t="s">
        <v>11</v>
      </c>
      <c r="C96" s="99" t="s">
        <v>129</v>
      </c>
      <c r="D96" s="294" t="s">
        <v>79</v>
      </c>
      <c r="E96" s="295">
        <v>36.5</v>
      </c>
      <c r="F96" s="300">
        <v>42</v>
      </c>
      <c r="G96" s="291">
        <f>(((F96/1000000)*E96)/(0.7302*'Flare Criteria Pollutants'!$D$14))*60*$D$62</f>
        <v>1.9379305985715187</v>
      </c>
      <c r="H96" s="293">
        <f t="shared" si="4"/>
        <v>8.4881360217432515</v>
      </c>
      <c r="I96" s="128">
        <v>0</v>
      </c>
      <c r="J96" s="309">
        <f t="shared" si="6"/>
        <v>1.9379305985715187</v>
      </c>
      <c r="K96" s="310">
        <f t="shared" si="5"/>
        <v>8.4881360217432515</v>
      </c>
    </row>
    <row r="97" spans="1:11" ht="13.5">
      <c r="A97" s="192" t="s">
        <v>175</v>
      </c>
      <c r="B97" s="129"/>
      <c r="C97" s="129"/>
      <c r="D97" s="130"/>
      <c r="E97" s="131"/>
      <c r="F97" s="315" t="s">
        <v>333</v>
      </c>
      <c r="G97" s="131">
        <f>SUM(G67:G96)</f>
        <v>15.418226835370712</v>
      </c>
      <c r="H97" s="311">
        <f>SUM(H67:H96)</f>
        <v>67.531833538923721</v>
      </c>
      <c r="I97" s="316" t="s">
        <v>192</v>
      </c>
      <c r="J97" s="311">
        <f>SUM(J67:J96)</f>
        <v>2.2076090933822137</v>
      </c>
      <c r="K97" s="312">
        <f>J97*4.38</f>
        <v>9.6693278290140956</v>
      </c>
    </row>
    <row r="98" spans="1:11">
      <c r="A98" s="132" t="s">
        <v>104</v>
      </c>
      <c r="B98" s="133"/>
      <c r="C98" s="134"/>
      <c r="D98" s="135"/>
      <c r="E98" s="136"/>
      <c r="F98" s="136"/>
      <c r="G98" s="317">
        <f>G92</f>
        <v>4.5775892800707929</v>
      </c>
      <c r="H98" s="313">
        <f>H92</f>
        <v>20.049841046710071</v>
      </c>
      <c r="I98" s="239"/>
      <c r="J98" s="313">
        <f>J96</f>
        <v>1.9379305985715187</v>
      </c>
      <c r="K98" s="314">
        <f>4.38*J98</f>
        <v>8.4881360217432515</v>
      </c>
    </row>
    <row r="99" spans="1:11">
      <c r="A99" s="138" t="s">
        <v>176</v>
      </c>
      <c r="B99" s="94"/>
      <c r="C99" s="94"/>
      <c r="D99" s="139"/>
      <c r="E99" s="140"/>
      <c r="F99" s="140"/>
      <c r="G99" s="140"/>
      <c r="H99" s="140"/>
      <c r="I99" s="141"/>
      <c r="J99" s="142"/>
      <c r="K99" s="142"/>
    </row>
    <row r="100" spans="1:11">
      <c r="A100" s="143" t="s">
        <v>177</v>
      </c>
      <c r="B100" s="94"/>
      <c r="C100" s="94"/>
      <c r="D100" s="139"/>
      <c r="E100" s="140"/>
      <c r="F100" s="140"/>
      <c r="G100" s="140"/>
      <c r="H100" s="140"/>
      <c r="I100" s="141"/>
      <c r="J100" s="142"/>
      <c r="K100" s="142"/>
    </row>
    <row r="101" spans="1:11">
      <c r="A101" s="144" t="s">
        <v>131</v>
      </c>
      <c r="B101" s="94"/>
      <c r="C101" s="94"/>
      <c r="D101" s="139"/>
      <c r="E101" s="140"/>
      <c r="F101" s="140"/>
      <c r="G101" s="140"/>
      <c r="H101" s="140"/>
      <c r="I101" s="141"/>
      <c r="J101" s="142"/>
      <c r="K101" s="142"/>
    </row>
    <row r="102" spans="1:11">
      <c r="A102" s="145" t="s">
        <v>178</v>
      </c>
      <c r="B102" s="94"/>
      <c r="C102" s="94"/>
      <c r="D102" s="139"/>
      <c r="E102" s="140"/>
      <c r="F102" s="140"/>
      <c r="G102" s="140"/>
      <c r="H102" s="140"/>
      <c r="I102" s="141"/>
      <c r="J102" s="142"/>
      <c r="K102" s="142"/>
    </row>
    <row r="103" spans="1:11">
      <c r="A103" s="145" t="s">
        <v>179</v>
      </c>
      <c r="B103" s="94"/>
      <c r="C103" s="94"/>
      <c r="D103" s="139"/>
      <c r="E103" s="140"/>
      <c r="F103" s="140"/>
      <c r="G103" s="140"/>
      <c r="H103" s="140"/>
      <c r="I103" s="141"/>
      <c r="J103" s="142"/>
      <c r="K103" s="142"/>
    </row>
    <row r="104" spans="1:11">
      <c r="A104" s="138" t="s">
        <v>180</v>
      </c>
      <c r="B104" s="146"/>
      <c r="C104" s="146"/>
      <c r="D104" s="147"/>
      <c r="E104" s="148"/>
      <c r="F104" s="149"/>
      <c r="G104" s="149"/>
      <c r="H104" s="149"/>
      <c r="I104" s="150"/>
      <c r="J104" s="151"/>
      <c r="K104" s="151"/>
    </row>
    <row r="105" spans="1:11">
      <c r="A105" s="138" t="s">
        <v>332</v>
      </c>
      <c r="B105" s="146"/>
      <c r="C105" s="146"/>
      <c r="D105" s="152"/>
      <c r="E105" s="148"/>
      <c r="F105" s="149"/>
      <c r="G105" s="149"/>
      <c r="H105" s="149"/>
      <c r="I105" s="150"/>
      <c r="J105" s="150"/>
      <c r="K105" s="153"/>
    </row>
    <row r="106" spans="1:11" ht="13.5">
      <c r="A106" s="154" t="s">
        <v>181</v>
      </c>
      <c r="B106" s="146"/>
      <c r="C106" s="146"/>
      <c r="D106" s="155"/>
      <c r="E106" s="148"/>
      <c r="F106" s="149"/>
      <c r="G106" s="149"/>
      <c r="H106" s="149"/>
      <c r="I106" s="150"/>
      <c r="J106" s="150"/>
      <c r="K106" s="153"/>
    </row>
    <row r="107" spans="1:11" ht="13.5">
      <c r="A107" s="154" t="s">
        <v>182</v>
      </c>
      <c r="B107" s="156"/>
      <c r="C107" s="156"/>
      <c r="D107" s="157"/>
      <c r="E107" s="158"/>
      <c r="F107" s="149"/>
      <c r="G107" s="149"/>
      <c r="H107" s="149"/>
      <c r="I107" s="150"/>
      <c r="J107" s="150"/>
      <c r="K107" s="153"/>
    </row>
  </sheetData>
  <mergeCells count="4">
    <mergeCell ref="F12:G12"/>
    <mergeCell ref="F13:G13"/>
    <mergeCell ref="F64:G64"/>
    <mergeCell ref="F65:G65"/>
  </mergeCells>
  <phoneticPr fontId="0" type="noConversion"/>
  <pageMargins left="0.75" right="0.75" top="1" bottom="1" header="0.5" footer="0.5"/>
  <pageSetup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0315-B86D-48E3-A51A-1EE1D529A732}">
  <sheetPr>
    <pageSetUpPr fitToPage="1"/>
  </sheetPr>
  <dimension ref="A1:U20"/>
  <sheetViews>
    <sheetView zoomScale="120" zoomScaleNormal="120" workbookViewId="0">
      <selection activeCell="F8" sqref="F8"/>
    </sheetView>
  </sheetViews>
  <sheetFormatPr defaultRowHeight="12.75"/>
  <cols>
    <col min="1" max="1" width="12.85546875" customWidth="1"/>
    <col min="2" max="2" width="14.7109375" customWidth="1"/>
    <col min="3" max="3" width="12.5703125" customWidth="1"/>
    <col min="4" max="4" width="8.85546875" customWidth="1"/>
    <col min="5" max="5" width="7.7109375" customWidth="1"/>
    <col min="6" max="6" width="13.42578125" customWidth="1"/>
    <col min="7" max="8" width="9.28515625" customWidth="1"/>
    <col min="9" max="9" width="8.85546875" customWidth="1"/>
    <col min="10" max="10" width="9.5703125" customWidth="1"/>
    <col min="11" max="11" width="8" customWidth="1"/>
    <col min="12" max="12" width="9.7109375" customWidth="1"/>
    <col min="13" max="13" width="7.42578125" customWidth="1"/>
    <col min="14" max="16" width="6.7109375" customWidth="1"/>
    <col min="17" max="17" width="8.85546875" customWidth="1"/>
    <col min="18" max="18" width="6.7109375" customWidth="1"/>
    <col min="19" max="19" width="8.28515625" customWidth="1"/>
    <col min="20" max="20" width="6.7109375" customWidth="1"/>
    <col min="21" max="21" width="9.28515625" customWidth="1"/>
  </cols>
  <sheetData>
    <row r="1" spans="1:21">
      <c r="A1" s="179"/>
      <c r="B1" s="179"/>
      <c r="C1" s="179"/>
      <c r="D1" s="179"/>
      <c r="E1" s="179"/>
      <c r="F1" s="179"/>
      <c r="G1" s="171" t="s">
        <v>617</v>
      </c>
      <c r="H1" s="181"/>
      <c r="I1" s="179"/>
      <c r="J1" s="179"/>
      <c r="K1" s="181"/>
      <c r="L1" s="181"/>
      <c r="M1" s="181"/>
      <c r="N1" s="193"/>
      <c r="O1" s="193"/>
      <c r="P1" s="179"/>
      <c r="Q1" s="179"/>
      <c r="R1" s="179"/>
      <c r="S1" s="179"/>
      <c r="T1" s="179"/>
      <c r="U1" s="179"/>
    </row>
    <row r="2" spans="1:21">
      <c r="A2" s="179"/>
      <c r="B2" s="179"/>
      <c r="C2" s="179"/>
      <c r="D2" s="179"/>
      <c r="E2" s="179"/>
      <c r="F2" s="179"/>
      <c r="G2" s="179"/>
      <c r="H2" s="181"/>
      <c r="I2" s="180"/>
      <c r="J2" s="180"/>
      <c r="K2" s="181"/>
      <c r="L2" s="181"/>
      <c r="M2" s="181"/>
      <c r="N2" s="179"/>
      <c r="O2" s="179"/>
      <c r="P2" s="179"/>
      <c r="Q2" s="179"/>
      <c r="R2" s="179"/>
      <c r="S2" s="179"/>
      <c r="T2" s="179"/>
      <c r="U2" s="179"/>
    </row>
    <row r="3" spans="1:21" ht="15">
      <c r="A3" s="179"/>
      <c r="B3" s="179"/>
      <c r="C3" s="179"/>
      <c r="D3" s="179"/>
      <c r="E3" s="179"/>
      <c r="F3" s="179"/>
      <c r="G3" s="182" t="s">
        <v>199</v>
      </c>
      <c r="H3" s="179"/>
      <c r="I3" s="182"/>
      <c r="J3" s="182"/>
      <c r="K3" s="183"/>
      <c r="L3" s="183"/>
      <c r="M3" s="183"/>
      <c r="N3" s="179"/>
      <c r="O3" s="179"/>
      <c r="P3" s="179"/>
      <c r="Q3" s="179"/>
      <c r="R3" s="179"/>
      <c r="S3" s="179"/>
      <c r="T3" s="179"/>
      <c r="U3" s="179"/>
    </row>
    <row r="4" spans="1:21">
      <c r="A4" s="179"/>
      <c r="B4" s="179"/>
      <c r="C4" s="179"/>
      <c r="D4" s="179"/>
      <c r="E4" s="179"/>
      <c r="F4" s="179"/>
      <c r="G4" s="179"/>
      <c r="H4" s="181"/>
      <c r="I4" s="180"/>
      <c r="J4" s="180"/>
      <c r="K4" s="181"/>
      <c r="L4" s="181"/>
      <c r="M4" s="181"/>
      <c r="N4" s="179"/>
      <c r="O4" s="179"/>
      <c r="P4" s="179"/>
      <c r="Q4" s="179"/>
      <c r="R4" s="179"/>
      <c r="S4" s="179"/>
      <c r="T4" s="179"/>
      <c r="U4" s="179"/>
    </row>
    <row r="5" spans="1:21">
      <c r="A5" s="179"/>
      <c r="B5" s="179"/>
      <c r="E5" s="174" t="s">
        <v>189</v>
      </c>
      <c r="F5" t="s">
        <v>207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</row>
    <row r="6" spans="1:21">
      <c r="A6" s="179"/>
      <c r="B6" s="179"/>
      <c r="E6" s="174" t="s">
        <v>190</v>
      </c>
      <c r="F6" t="s">
        <v>208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</row>
    <row r="7" spans="1:21">
      <c r="A7" s="179"/>
      <c r="B7" s="179"/>
      <c r="E7" s="174" t="s">
        <v>305</v>
      </c>
      <c r="F7" t="s">
        <v>309</v>
      </c>
      <c r="L7" s="179"/>
      <c r="M7" s="179"/>
      <c r="N7" s="179"/>
      <c r="O7" s="179"/>
      <c r="P7" s="179"/>
      <c r="Q7" s="179"/>
      <c r="R7" s="179"/>
      <c r="S7" s="179"/>
      <c r="T7" s="179"/>
      <c r="U7" s="179"/>
    </row>
    <row r="8" spans="1:21">
      <c r="A8" s="179"/>
      <c r="B8" s="179"/>
      <c r="E8" s="174" t="s">
        <v>191</v>
      </c>
      <c r="F8" s="438" t="s">
        <v>718</v>
      </c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1">
      <c r="A9" s="179"/>
      <c r="B9" s="179"/>
      <c r="C9" s="179"/>
      <c r="E9" s="174"/>
      <c r="F9" s="175"/>
      <c r="L9" s="179"/>
      <c r="M9" s="179"/>
      <c r="N9" s="179"/>
      <c r="O9" s="179"/>
      <c r="P9" s="179"/>
      <c r="Q9" s="179"/>
      <c r="R9" s="179"/>
      <c r="S9" s="179"/>
      <c r="T9" s="179"/>
      <c r="U9" s="179"/>
    </row>
    <row r="10" spans="1:21">
      <c r="A10" s="179"/>
      <c r="B10" s="179"/>
      <c r="C10" s="179"/>
      <c r="F10" s="188"/>
      <c r="G10" s="137"/>
      <c r="I10" s="137"/>
      <c r="J10" s="137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</row>
    <row r="11" spans="1:21">
      <c r="A11" s="179"/>
      <c r="B11" s="179"/>
      <c r="C11" s="179"/>
      <c r="D11" s="189" t="s">
        <v>206</v>
      </c>
      <c r="F11" s="188"/>
      <c r="G11" s="137"/>
      <c r="I11" s="137"/>
      <c r="J11" s="137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</row>
    <row r="12" spans="1:21">
      <c r="B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ht="14.25">
      <c r="A13" s="560"/>
      <c r="B13" s="560"/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2"/>
    </row>
    <row r="14" spans="1:21" ht="15">
      <c r="A14" s="563"/>
      <c r="B14" s="564"/>
      <c r="C14" s="764" t="s">
        <v>334</v>
      </c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6"/>
    </row>
    <row r="15" spans="1:21" ht="16.5">
      <c r="A15" s="565" t="s">
        <v>73</v>
      </c>
      <c r="B15" s="566" t="s">
        <v>0</v>
      </c>
      <c r="C15" s="567" t="s">
        <v>74</v>
      </c>
      <c r="D15" s="767" t="s">
        <v>621</v>
      </c>
      <c r="E15" s="768"/>
      <c r="F15" s="767" t="s">
        <v>75</v>
      </c>
      <c r="G15" s="768"/>
      <c r="H15" s="767" t="s">
        <v>622</v>
      </c>
      <c r="I15" s="768"/>
      <c r="J15" s="767" t="s">
        <v>623</v>
      </c>
      <c r="K15" s="768"/>
      <c r="L15" s="767" t="s">
        <v>196</v>
      </c>
      <c r="M15" s="768"/>
      <c r="N15" s="767" t="s">
        <v>72</v>
      </c>
      <c r="O15" s="768"/>
      <c r="P15" s="769" t="s">
        <v>87</v>
      </c>
      <c r="Q15" s="770"/>
      <c r="R15" s="767" t="s">
        <v>113</v>
      </c>
      <c r="S15" s="768"/>
      <c r="T15" s="771" t="s">
        <v>338</v>
      </c>
      <c r="U15" s="768"/>
    </row>
    <row r="16" spans="1:21" ht="15">
      <c r="A16" s="565" t="s">
        <v>135</v>
      </c>
      <c r="B16" s="568" t="s">
        <v>76</v>
      </c>
      <c r="C16" s="569" t="s">
        <v>118</v>
      </c>
      <c r="D16" s="570" t="s">
        <v>1</v>
      </c>
      <c r="E16" s="571" t="s">
        <v>9</v>
      </c>
      <c r="F16" s="570" t="s">
        <v>1</v>
      </c>
      <c r="G16" s="571" t="s">
        <v>9</v>
      </c>
      <c r="H16" s="570" t="s">
        <v>1</v>
      </c>
      <c r="I16" s="571" t="s">
        <v>9</v>
      </c>
      <c r="J16" s="570" t="s">
        <v>1</v>
      </c>
      <c r="K16" s="571" t="s">
        <v>9</v>
      </c>
      <c r="L16" s="570" t="s">
        <v>1</v>
      </c>
      <c r="M16" s="571" t="s">
        <v>9</v>
      </c>
      <c r="N16" s="570" t="s">
        <v>1</v>
      </c>
      <c r="O16" s="571" t="s">
        <v>9</v>
      </c>
      <c r="P16" s="570" t="s">
        <v>1</v>
      </c>
      <c r="Q16" s="571" t="s">
        <v>9</v>
      </c>
      <c r="R16" s="570" t="s">
        <v>1</v>
      </c>
      <c r="S16" s="571" t="s">
        <v>9</v>
      </c>
      <c r="T16" s="572" t="s">
        <v>1</v>
      </c>
      <c r="U16" s="571" t="s">
        <v>9</v>
      </c>
    </row>
    <row r="17" spans="1:21" ht="45.75" customHeight="1">
      <c r="A17" s="573" t="s">
        <v>255</v>
      </c>
      <c r="B17" s="573" t="s">
        <v>200</v>
      </c>
      <c r="C17" s="574">
        <f>'Flare Criteria Pollutants'!B13</f>
        <v>6000</v>
      </c>
      <c r="D17" s="575">
        <f>'Flare Criteria Pollutants'!B42</f>
        <v>10.799999999999999</v>
      </c>
      <c r="E17" s="575">
        <f>D17*4.38</f>
        <v>47.303999999999995</v>
      </c>
      <c r="F17" s="575">
        <f>'Flare Criteria Pollutants'!B46</f>
        <v>36</v>
      </c>
      <c r="G17" s="575">
        <f>F17*4.38</f>
        <v>157.68</v>
      </c>
      <c r="H17" s="575">
        <f>'Flare Criteria Pollutants'!I35</f>
        <v>3.0127658251753999</v>
      </c>
      <c r="I17" s="575">
        <f>4.38*H17</f>
        <v>13.195914314268251</v>
      </c>
      <c r="J17" s="575">
        <f>K17/4.38</f>
        <v>3.06</v>
      </c>
      <c r="K17" s="575">
        <f>'Flare Criteria Pollutants'!D38</f>
        <v>13.402799999999999</v>
      </c>
      <c r="L17" s="575">
        <f>M17/4.38</f>
        <v>3.06</v>
      </c>
      <c r="M17" s="575">
        <f>K17</f>
        <v>13.402799999999999</v>
      </c>
      <c r="N17" s="575">
        <f>'Flare Criteria Pollutants'!B53</f>
        <v>0.97232349409013452</v>
      </c>
      <c r="O17" s="575">
        <f>N17*4.38</f>
        <v>4.2587769041147894</v>
      </c>
      <c r="P17" s="575">
        <f>'Flare Criteria Pollutants'!B63</f>
        <v>0.3792061626951525</v>
      </c>
      <c r="Q17" s="575">
        <f>P17*4.38</f>
        <v>1.6609229926047679</v>
      </c>
      <c r="R17" s="575">
        <f>'HAPs from flare'!J45</f>
        <v>1.6557068200366603</v>
      </c>
      <c r="S17" s="575">
        <f>R17*4.38</f>
        <v>7.2519958717605721</v>
      </c>
      <c r="T17" s="576">
        <f>'HAPs from flare'!J44</f>
        <v>1.4534479489286392</v>
      </c>
      <c r="U17" s="576">
        <f>4.38*T17</f>
        <v>6.3661020163074395</v>
      </c>
    </row>
    <row r="18" spans="1:21" ht="13.5">
      <c r="A18" s="137"/>
      <c r="B18" s="185" t="s">
        <v>0</v>
      </c>
      <c r="C18" s="185"/>
      <c r="D18" s="137"/>
      <c r="E18" s="137"/>
      <c r="F18" s="186"/>
      <c r="G18" s="137"/>
      <c r="H18" s="137"/>
      <c r="I18" s="184"/>
      <c r="J18" s="137"/>
      <c r="K18" s="184"/>
      <c r="L18" s="184"/>
      <c r="M18" s="184"/>
      <c r="N18" s="137"/>
      <c r="O18" s="184"/>
      <c r="P18" s="137"/>
      <c r="Q18" s="184"/>
      <c r="R18" s="137"/>
      <c r="S18" s="184"/>
      <c r="T18" s="184"/>
      <c r="U18" s="184"/>
    </row>
    <row r="19" spans="1:21" ht="13.5">
      <c r="A19" s="490" t="s">
        <v>616</v>
      </c>
      <c r="B19" s="185"/>
      <c r="C19" s="185"/>
      <c r="D19" s="137"/>
      <c r="E19" s="137"/>
      <c r="F19" s="186"/>
      <c r="G19" s="137"/>
      <c r="H19" s="137"/>
      <c r="I19" s="184"/>
      <c r="J19" s="137"/>
      <c r="K19" s="184"/>
      <c r="L19" s="184"/>
      <c r="M19" s="184"/>
      <c r="N19" s="137"/>
      <c r="O19" s="184"/>
      <c r="P19" s="137"/>
      <c r="Q19" s="184"/>
      <c r="R19" s="137"/>
      <c r="S19" s="184"/>
      <c r="T19" s="184"/>
      <c r="U19" s="184"/>
    </row>
    <row r="20" spans="1:21" ht="13.5">
      <c r="A20" s="240"/>
      <c r="B20" s="185"/>
      <c r="C20" s="185"/>
      <c r="D20" s="137"/>
      <c r="E20" s="137"/>
      <c r="F20" s="186"/>
      <c r="G20" s="137"/>
      <c r="H20" s="137"/>
      <c r="I20" s="184"/>
      <c r="J20" s="137"/>
      <c r="K20" s="184"/>
      <c r="L20" s="184"/>
      <c r="M20" s="184"/>
      <c r="N20" s="137"/>
      <c r="O20" s="184"/>
      <c r="P20" s="137"/>
      <c r="Q20" s="184"/>
      <c r="R20" s="137"/>
      <c r="S20" s="184"/>
      <c r="T20" s="184"/>
      <c r="U20" s="184"/>
    </row>
  </sheetData>
  <mergeCells count="10">
    <mergeCell ref="C14:U14"/>
    <mergeCell ref="D15:E15"/>
    <mergeCell ref="P15:Q15"/>
    <mergeCell ref="L15:M15"/>
    <mergeCell ref="R15:S15"/>
    <mergeCell ref="T15:U15"/>
    <mergeCell ref="F15:G15"/>
    <mergeCell ref="H15:I15"/>
    <mergeCell ref="J15:K15"/>
    <mergeCell ref="N15:O15"/>
  </mergeCells>
  <phoneticPr fontId="0" type="noConversion"/>
  <pageMargins left="0.75" right="0.75" top="1" bottom="1" header="0.5" footer="0.5"/>
  <pageSetup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DE2C-D0C5-404E-A149-F6E40565EB5D}">
  <sheetPr>
    <tabColor rgb="FF00B050"/>
    <pageSetUpPr fitToPage="1"/>
  </sheetPr>
  <dimension ref="A1:K197"/>
  <sheetViews>
    <sheetView zoomScaleNormal="100" workbookViewId="0">
      <selection activeCell="K97" sqref="K97"/>
    </sheetView>
  </sheetViews>
  <sheetFormatPr defaultRowHeight="12.75"/>
  <cols>
    <col min="1" max="1" width="5" style="195" bestFit="1" customWidth="1"/>
    <col min="2" max="2" width="17.42578125" style="437" bestFit="1" customWidth="1"/>
    <col min="3" max="3" width="14.7109375" style="437" bestFit="1" customWidth="1"/>
    <col min="4" max="4" width="13.7109375" style="437" bestFit="1" customWidth="1"/>
    <col min="5" max="5" width="6.7109375" style="195" customWidth="1"/>
    <col min="6" max="6" width="17.42578125" style="437" bestFit="1" customWidth="1"/>
    <col min="7" max="7" width="14.7109375" style="437" bestFit="1" customWidth="1"/>
    <col min="8" max="8" width="13.7109375" style="437" bestFit="1" customWidth="1"/>
    <col min="9" max="9" width="13.7109375" style="437" customWidth="1"/>
    <col min="10" max="10" width="18.7109375" style="195" bestFit="1" customWidth="1"/>
    <col min="11" max="11" width="12.5703125" style="195" customWidth="1"/>
  </cols>
  <sheetData>
    <row r="1" spans="1:11">
      <c r="C1" s="437" t="s">
        <v>464</v>
      </c>
      <c r="G1" s="446" t="s">
        <v>593</v>
      </c>
      <c r="I1" s="446" t="s">
        <v>592</v>
      </c>
    </row>
    <row r="2" spans="1:11">
      <c r="B2" s="437" t="s">
        <v>465</v>
      </c>
      <c r="C2" s="437" t="s">
        <v>466</v>
      </c>
      <c r="D2" s="437" t="s">
        <v>467</v>
      </c>
      <c r="F2" s="437" t="s">
        <v>465</v>
      </c>
      <c r="G2" s="446" t="s">
        <v>466</v>
      </c>
      <c r="H2" s="437" t="s">
        <v>467</v>
      </c>
      <c r="I2" s="446" t="s">
        <v>466</v>
      </c>
      <c r="J2" s="447" t="s">
        <v>467</v>
      </c>
      <c r="K2" s="447" t="s">
        <v>591</v>
      </c>
    </row>
    <row r="3" spans="1:11">
      <c r="B3" s="437" t="s">
        <v>468</v>
      </c>
      <c r="C3" s="437" t="s">
        <v>115</v>
      </c>
      <c r="D3" s="437" t="s">
        <v>115</v>
      </c>
      <c r="F3" s="437" t="s">
        <v>468</v>
      </c>
      <c r="G3" s="437" t="s">
        <v>115</v>
      </c>
      <c r="H3" s="437" t="s">
        <v>115</v>
      </c>
      <c r="J3" s="195" t="s">
        <v>115</v>
      </c>
    </row>
    <row r="4" spans="1:11">
      <c r="A4" s="195">
        <v>1935</v>
      </c>
      <c r="B4" s="437">
        <v>2.3E-2</v>
      </c>
      <c r="C4" s="437">
        <v>0</v>
      </c>
      <c r="D4" s="437">
        <f>C4*0.75</f>
        <v>0</v>
      </c>
      <c r="I4" s="437">
        <f>C4+G4</f>
        <v>0</v>
      </c>
      <c r="J4" s="437">
        <f>D4+H4</f>
        <v>0</v>
      </c>
      <c r="K4" s="437">
        <f>I4-J4</f>
        <v>0</v>
      </c>
    </row>
    <row r="5" spans="1:11">
      <c r="A5" s="195">
        <v>1936</v>
      </c>
      <c r="B5" s="437">
        <v>2.3E-2</v>
      </c>
      <c r="C5" s="437">
        <v>0</v>
      </c>
      <c r="D5" s="437">
        <f t="shared" ref="D5:D68" si="0">C5*0.75</f>
        <v>0</v>
      </c>
      <c r="I5" s="437">
        <f t="shared" ref="I5:I68" si="1">C5+G5</f>
        <v>0</v>
      </c>
      <c r="J5" s="437">
        <f t="shared" ref="J5:J36" si="2">D5+H5</f>
        <v>0</v>
      </c>
      <c r="K5" s="437">
        <f t="shared" ref="K5:K68" si="3">I5-J5</f>
        <v>0</v>
      </c>
    </row>
    <row r="6" spans="1:11">
      <c r="A6" s="195">
        <v>1937</v>
      </c>
      <c r="B6" s="437">
        <v>2.3E-2</v>
      </c>
      <c r="C6" s="437">
        <v>0</v>
      </c>
      <c r="D6" s="437">
        <f t="shared" si="0"/>
        <v>0</v>
      </c>
      <c r="I6" s="437">
        <f t="shared" si="1"/>
        <v>0</v>
      </c>
      <c r="J6" s="437">
        <f t="shared" si="2"/>
        <v>0</v>
      </c>
      <c r="K6" s="437">
        <f t="shared" si="3"/>
        <v>0</v>
      </c>
    </row>
    <row r="7" spans="1:11">
      <c r="A7" s="195">
        <v>1938</v>
      </c>
      <c r="B7" s="437">
        <v>2.3E-2</v>
      </c>
      <c r="C7" s="437">
        <v>0</v>
      </c>
      <c r="D7" s="437">
        <f t="shared" si="0"/>
        <v>0</v>
      </c>
      <c r="I7" s="437">
        <f t="shared" si="1"/>
        <v>0</v>
      </c>
      <c r="J7" s="437">
        <f t="shared" si="2"/>
        <v>0</v>
      </c>
      <c r="K7" s="437">
        <f t="shared" si="3"/>
        <v>0</v>
      </c>
    </row>
    <row r="8" spans="1:11">
      <c r="A8" s="195">
        <v>1939</v>
      </c>
      <c r="B8" s="437">
        <v>2.3E-2</v>
      </c>
      <c r="C8" s="437">
        <v>0</v>
      </c>
      <c r="D8" s="437">
        <f t="shared" si="0"/>
        <v>0</v>
      </c>
      <c r="I8" s="437">
        <f t="shared" si="1"/>
        <v>0</v>
      </c>
      <c r="J8" s="437">
        <f t="shared" si="2"/>
        <v>0</v>
      </c>
      <c r="K8" s="437">
        <f t="shared" si="3"/>
        <v>0</v>
      </c>
    </row>
    <row r="9" spans="1:11">
      <c r="A9" s="195">
        <v>1940</v>
      </c>
      <c r="B9" s="437">
        <v>2.3E-2</v>
      </c>
      <c r="C9" s="437">
        <v>0</v>
      </c>
      <c r="D9" s="437">
        <f t="shared" si="0"/>
        <v>0</v>
      </c>
      <c r="I9" s="437">
        <f t="shared" si="1"/>
        <v>0</v>
      </c>
      <c r="J9" s="437">
        <f t="shared" si="2"/>
        <v>0</v>
      </c>
      <c r="K9" s="437">
        <f t="shared" si="3"/>
        <v>0</v>
      </c>
    </row>
    <row r="10" spans="1:11">
      <c r="A10" s="195">
        <v>1941</v>
      </c>
      <c r="B10" s="437">
        <v>2.3E-2</v>
      </c>
      <c r="C10" s="437">
        <v>0</v>
      </c>
      <c r="D10" s="437">
        <f t="shared" si="0"/>
        <v>0</v>
      </c>
      <c r="I10" s="437">
        <f t="shared" si="1"/>
        <v>0</v>
      </c>
      <c r="J10" s="437">
        <f t="shared" si="2"/>
        <v>0</v>
      </c>
      <c r="K10" s="437">
        <f t="shared" si="3"/>
        <v>0</v>
      </c>
    </row>
    <row r="11" spans="1:11">
      <c r="A11" s="195">
        <v>1942</v>
      </c>
      <c r="B11" s="437">
        <v>2.3E-2</v>
      </c>
      <c r="C11" s="437">
        <v>0</v>
      </c>
      <c r="D11" s="437">
        <f t="shared" si="0"/>
        <v>0</v>
      </c>
      <c r="I11" s="437">
        <f t="shared" si="1"/>
        <v>0</v>
      </c>
      <c r="J11" s="437">
        <f t="shared" si="2"/>
        <v>0</v>
      </c>
      <c r="K11" s="437">
        <f t="shared" si="3"/>
        <v>0</v>
      </c>
    </row>
    <row r="12" spans="1:11">
      <c r="A12" s="195">
        <v>1943</v>
      </c>
      <c r="B12" s="437">
        <v>2.3E-2</v>
      </c>
      <c r="C12" s="437">
        <v>0</v>
      </c>
      <c r="D12" s="437">
        <f t="shared" si="0"/>
        <v>0</v>
      </c>
      <c r="I12" s="437">
        <f t="shared" si="1"/>
        <v>0</v>
      </c>
      <c r="J12" s="437">
        <f t="shared" si="2"/>
        <v>0</v>
      </c>
      <c r="K12" s="437">
        <f t="shared" si="3"/>
        <v>0</v>
      </c>
    </row>
    <row r="13" spans="1:11">
      <c r="A13" s="195">
        <v>1944</v>
      </c>
      <c r="B13" s="437">
        <v>2.3E-2</v>
      </c>
      <c r="C13" s="437">
        <v>0</v>
      </c>
      <c r="D13" s="437">
        <f t="shared" si="0"/>
        <v>0</v>
      </c>
      <c r="I13" s="437">
        <f t="shared" si="1"/>
        <v>0</v>
      </c>
      <c r="J13" s="437">
        <f t="shared" si="2"/>
        <v>0</v>
      </c>
      <c r="K13" s="437">
        <f t="shared" si="3"/>
        <v>0</v>
      </c>
    </row>
    <row r="14" spans="1:11">
      <c r="A14" s="195">
        <v>1945</v>
      </c>
      <c r="B14" s="437">
        <v>2.3E-2</v>
      </c>
      <c r="C14" s="437">
        <v>0</v>
      </c>
      <c r="D14" s="437">
        <f t="shared" si="0"/>
        <v>0</v>
      </c>
      <c r="I14" s="437">
        <f t="shared" si="1"/>
        <v>0</v>
      </c>
      <c r="J14" s="437">
        <f t="shared" si="2"/>
        <v>0</v>
      </c>
      <c r="K14" s="437">
        <f t="shared" si="3"/>
        <v>0</v>
      </c>
    </row>
    <row r="15" spans="1:11">
      <c r="A15" s="195">
        <v>1946</v>
      </c>
      <c r="B15" s="437">
        <v>2.3E-2</v>
      </c>
      <c r="C15" s="437">
        <v>0</v>
      </c>
      <c r="D15" s="437">
        <f t="shared" si="0"/>
        <v>0</v>
      </c>
      <c r="I15" s="437">
        <f t="shared" si="1"/>
        <v>0</v>
      </c>
      <c r="J15" s="437">
        <f t="shared" si="2"/>
        <v>0</v>
      </c>
      <c r="K15" s="437">
        <f t="shared" si="3"/>
        <v>0</v>
      </c>
    </row>
    <row r="16" spans="1:11">
      <c r="A16" s="195">
        <v>1947</v>
      </c>
      <c r="B16" s="437">
        <v>2.3E-2</v>
      </c>
      <c r="C16" s="437">
        <v>0</v>
      </c>
      <c r="D16" s="437">
        <f t="shared" si="0"/>
        <v>0</v>
      </c>
      <c r="I16" s="437">
        <f t="shared" si="1"/>
        <v>0</v>
      </c>
      <c r="J16" s="437">
        <f t="shared" si="2"/>
        <v>0</v>
      </c>
      <c r="K16" s="437">
        <f t="shared" si="3"/>
        <v>0</v>
      </c>
    </row>
    <row r="17" spans="1:11">
      <c r="A17" s="195">
        <v>1948</v>
      </c>
      <c r="B17" s="437">
        <v>2.3E-2</v>
      </c>
      <c r="C17" s="437">
        <v>0</v>
      </c>
      <c r="D17" s="437">
        <f t="shared" si="0"/>
        <v>0</v>
      </c>
      <c r="I17" s="437">
        <f t="shared" si="1"/>
        <v>0</v>
      </c>
      <c r="J17" s="437">
        <f t="shared" si="2"/>
        <v>0</v>
      </c>
      <c r="K17" s="437">
        <f t="shared" si="3"/>
        <v>0</v>
      </c>
    </row>
    <row r="18" spans="1:11">
      <c r="A18" s="195">
        <v>1949</v>
      </c>
      <c r="B18" s="437">
        <v>2.3E-2</v>
      </c>
      <c r="C18" s="437">
        <v>0</v>
      </c>
      <c r="D18" s="437">
        <f t="shared" si="0"/>
        <v>0</v>
      </c>
      <c r="I18" s="437">
        <f t="shared" si="1"/>
        <v>0</v>
      </c>
      <c r="J18" s="437">
        <f t="shared" si="2"/>
        <v>0</v>
      </c>
      <c r="K18" s="437">
        <f t="shared" si="3"/>
        <v>0</v>
      </c>
    </row>
    <row r="19" spans="1:11">
      <c r="A19" s="195">
        <v>1950</v>
      </c>
      <c r="B19" s="437">
        <v>2.3E-2</v>
      </c>
      <c r="C19" s="437">
        <v>0</v>
      </c>
      <c r="D19" s="437">
        <f t="shared" si="0"/>
        <v>0</v>
      </c>
      <c r="I19" s="437">
        <f t="shared" si="1"/>
        <v>0</v>
      </c>
      <c r="J19" s="437">
        <f t="shared" si="2"/>
        <v>0</v>
      </c>
      <c r="K19" s="437">
        <f t="shared" si="3"/>
        <v>0</v>
      </c>
    </row>
    <row r="20" spans="1:11">
      <c r="A20" s="195">
        <v>1951</v>
      </c>
      <c r="B20" s="437">
        <v>2.3E-2</v>
      </c>
      <c r="C20" s="437">
        <v>0</v>
      </c>
      <c r="D20" s="437">
        <f t="shared" si="0"/>
        <v>0</v>
      </c>
      <c r="I20" s="437">
        <f t="shared" si="1"/>
        <v>0</v>
      </c>
      <c r="J20" s="437">
        <f t="shared" si="2"/>
        <v>0</v>
      </c>
      <c r="K20" s="437">
        <f t="shared" si="3"/>
        <v>0</v>
      </c>
    </row>
    <row r="21" spans="1:11">
      <c r="A21" s="195">
        <v>1952</v>
      </c>
      <c r="B21" s="437">
        <v>2.3E-2</v>
      </c>
      <c r="C21" s="437">
        <v>0</v>
      </c>
      <c r="D21" s="437">
        <f t="shared" si="0"/>
        <v>0</v>
      </c>
      <c r="I21" s="437">
        <f t="shared" si="1"/>
        <v>0</v>
      </c>
      <c r="J21" s="437">
        <f t="shared" si="2"/>
        <v>0</v>
      </c>
      <c r="K21" s="437">
        <f t="shared" si="3"/>
        <v>0</v>
      </c>
    </row>
    <row r="22" spans="1:11">
      <c r="A22" s="195">
        <v>1953</v>
      </c>
      <c r="B22" s="437">
        <v>2.3E-2</v>
      </c>
      <c r="C22" s="437">
        <v>0</v>
      </c>
      <c r="D22" s="437">
        <f t="shared" si="0"/>
        <v>0</v>
      </c>
      <c r="I22" s="437">
        <f t="shared" si="1"/>
        <v>0</v>
      </c>
      <c r="J22" s="437">
        <f t="shared" si="2"/>
        <v>0</v>
      </c>
      <c r="K22" s="437">
        <f t="shared" si="3"/>
        <v>0</v>
      </c>
    </row>
    <row r="23" spans="1:11">
      <c r="A23" s="195">
        <v>1954</v>
      </c>
      <c r="B23" s="437">
        <v>2.3E-2</v>
      </c>
      <c r="C23" s="437">
        <v>0</v>
      </c>
      <c r="D23" s="437">
        <f t="shared" si="0"/>
        <v>0</v>
      </c>
      <c r="I23" s="437">
        <f t="shared" si="1"/>
        <v>0</v>
      </c>
      <c r="J23" s="437">
        <f t="shared" si="2"/>
        <v>0</v>
      </c>
      <c r="K23" s="437">
        <f t="shared" si="3"/>
        <v>0</v>
      </c>
    </row>
    <row r="24" spans="1:11">
      <c r="A24" s="195">
        <v>1955</v>
      </c>
      <c r="B24" s="437">
        <v>2.3E-2</v>
      </c>
      <c r="C24" s="437">
        <v>0</v>
      </c>
      <c r="D24" s="437">
        <f t="shared" si="0"/>
        <v>0</v>
      </c>
      <c r="I24" s="437">
        <f t="shared" si="1"/>
        <v>0</v>
      </c>
      <c r="J24" s="437">
        <f t="shared" si="2"/>
        <v>0</v>
      </c>
      <c r="K24" s="437">
        <f t="shared" si="3"/>
        <v>0</v>
      </c>
    </row>
    <row r="25" spans="1:11">
      <c r="A25" s="195">
        <v>1956</v>
      </c>
      <c r="B25" s="437">
        <v>25915</v>
      </c>
      <c r="C25" s="437">
        <v>0</v>
      </c>
      <c r="D25" s="437">
        <f t="shared" si="0"/>
        <v>0</v>
      </c>
      <c r="I25" s="437">
        <f t="shared" si="1"/>
        <v>0</v>
      </c>
      <c r="J25" s="437">
        <f t="shared" si="2"/>
        <v>0</v>
      </c>
      <c r="K25" s="437">
        <f t="shared" si="3"/>
        <v>0</v>
      </c>
    </row>
    <row r="26" spans="1:11">
      <c r="A26" s="195">
        <v>1957</v>
      </c>
      <c r="B26" s="437">
        <v>25915</v>
      </c>
      <c r="C26" s="437">
        <v>12.438377444762249</v>
      </c>
      <c r="D26" s="437">
        <f t="shared" si="0"/>
        <v>9.3287830835716861</v>
      </c>
      <c r="I26" s="437">
        <f t="shared" si="1"/>
        <v>12.438377444762249</v>
      </c>
      <c r="J26" s="437">
        <f t="shared" si="2"/>
        <v>9.3287830835716861</v>
      </c>
      <c r="K26" s="437">
        <f t="shared" si="3"/>
        <v>3.1095943611905632</v>
      </c>
    </row>
    <row r="27" spans="1:11">
      <c r="A27" s="195">
        <v>1958</v>
      </c>
      <c r="B27" s="437">
        <v>25915</v>
      </c>
      <c r="C27" s="437">
        <v>24.389039133880274</v>
      </c>
      <c r="D27" s="437">
        <f t="shared" si="0"/>
        <v>18.291779350410206</v>
      </c>
      <c r="I27" s="437">
        <f t="shared" si="1"/>
        <v>24.389039133880274</v>
      </c>
      <c r="J27" s="437">
        <f t="shared" si="2"/>
        <v>18.291779350410206</v>
      </c>
      <c r="K27" s="437">
        <f t="shared" si="3"/>
        <v>6.0972597834700686</v>
      </c>
    </row>
    <row r="28" spans="1:11">
      <c r="A28" s="195">
        <v>1959</v>
      </c>
      <c r="B28" s="437">
        <v>25915</v>
      </c>
      <c r="C28" s="437">
        <v>35.871108675667138</v>
      </c>
      <c r="D28" s="437">
        <f t="shared" si="0"/>
        <v>26.903331506750355</v>
      </c>
      <c r="I28" s="437">
        <f t="shared" si="1"/>
        <v>35.871108675667138</v>
      </c>
      <c r="J28" s="437">
        <f t="shared" si="2"/>
        <v>26.903331506750355</v>
      </c>
      <c r="K28" s="437">
        <f t="shared" si="3"/>
        <v>8.9677771689167827</v>
      </c>
    </row>
    <row r="29" spans="1:11">
      <c r="A29" s="195">
        <v>1960</v>
      </c>
      <c r="B29" s="437">
        <v>25915</v>
      </c>
      <c r="C29" s="437">
        <v>46.902959831028518</v>
      </c>
      <c r="D29" s="437">
        <f t="shared" si="0"/>
        <v>35.17721987327139</v>
      </c>
      <c r="I29" s="437">
        <f t="shared" si="1"/>
        <v>46.902959831028518</v>
      </c>
      <c r="J29" s="437">
        <f t="shared" si="2"/>
        <v>35.17721987327139</v>
      </c>
      <c r="K29" s="437">
        <f t="shared" si="3"/>
        <v>11.725739957757128</v>
      </c>
    </row>
    <row r="30" spans="1:11">
      <c r="A30" s="195">
        <v>1961</v>
      </c>
      <c r="B30" s="437">
        <v>486989</v>
      </c>
      <c r="C30" s="437">
        <v>57.502245915400081</v>
      </c>
      <c r="D30" s="437">
        <f t="shared" si="0"/>
        <v>43.126684436550065</v>
      </c>
      <c r="I30" s="437">
        <f t="shared" si="1"/>
        <v>57.502245915400081</v>
      </c>
      <c r="J30" s="437">
        <f t="shared" si="2"/>
        <v>43.126684436550065</v>
      </c>
      <c r="K30" s="437">
        <f t="shared" si="3"/>
        <v>14.375561478850017</v>
      </c>
    </row>
    <row r="31" spans="1:11">
      <c r="A31" s="195">
        <v>1962</v>
      </c>
      <c r="B31" s="437">
        <v>486989</v>
      </c>
      <c r="C31" s="437">
        <v>288.98681332531447</v>
      </c>
      <c r="D31" s="437">
        <f t="shared" si="0"/>
        <v>216.74010999398587</v>
      </c>
      <c r="I31" s="437">
        <f t="shared" si="1"/>
        <v>288.98681332531447</v>
      </c>
      <c r="J31" s="437">
        <f t="shared" si="2"/>
        <v>216.74010999398587</v>
      </c>
      <c r="K31" s="437">
        <f t="shared" si="3"/>
        <v>72.246703331328604</v>
      </c>
    </row>
    <row r="32" spans="1:11">
      <c r="A32" s="195">
        <v>1963</v>
      </c>
      <c r="B32" s="437">
        <v>486989</v>
      </c>
      <c r="C32" s="437">
        <v>511.39474101950429</v>
      </c>
      <c r="D32" s="437">
        <f t="shared" si="0"/>
        <v>383.54605576462825</v>
      </c>
      <c r="I32" s="437">
        <f t="shared" si="1"/>
        <v>511.39474101950429</v>
      </c>
      <c r="J32" s="437">
        <f t="shared" si="2"/>
        <v>383.54605576462825</v>
      </c>
      <c r="K32" s="437">
        <f t="shared" si="3"/>
        <v>127.84868525487605</v>
      </c>
    </row>
    <row r="33" spans="1:11">
      <c r="A33" s="195">
        <v>1964</v>
      </c>
      <c r="B33" s="437">
        <v>486989</v>
      </c>
      <c r="C33" s="437">
        <v>725.0819291318353</v>
      </c>
      <c r="D33" s="437">
        <f t="shared" si="0"/>
        <v>543.81144684887647</v>
      </c>
      <c r="I33" s="437">
        <f t="shared" si="1"/>
        <v>725.0819291318353</v>
      </c>
      <c r="J33" s="437">
        <f t="shared" si="2"/>
        <v>543.81144684887647</v>
      </c>
      <c r="K33" s="437">
        <f t="shared" si="3"/>
        <v>181.27048228295882</v>
      </c>
    </row>
    <row r="34" spans="1:11">
      <c r="A34" s="195">
        <v>1965</v>
      </c>
      <c r="B34" s="437">
        <v>486989</v>
      </c>
      <c r="C34" s="437">
        <v>930.39032275231898</v>
      </c>
      <c r="D34" s="437">
        <f t="shared" si="0"/>
        <v>697.79274206423929</v>
      </c>
      <c r="I34" s="437">
        <f t="shared" si="1"/>
        <v>930.39032275231898</v>
      </c>
      <c r="J34" s="437">
        <f t="shared" si="2"/>
        <v>697.79274206423929</v>
      </c>
      <c r="K34" s="437">
        <f t="shared" si="3"/>
        <v>232.59758068807969</v>
      </c>
    </row>
    <row r="35" spans="1:11">
      <c r="A35" s="195">
        <v>1966</v>
      </c>
      <c r="B35" s="437">
        <v>486989</v>
      </c>
      <c r="C35" s="437">
        <v>1127.6484591122078</v>
      </c>
      <c r="D35" s="437">
        <f t="shared" si="0"/>
        <v>845.73634433415577</v>
      </c>
      <c r="I35" s="437">
        <f t="shared" si="1"/>
        <v>1127.6484591122078</v>
      </c>
      <c r="J35" s="437">
        <f t="shared" si="2"/>
        <v>845.73634433415577</v>
      </c>
      <c r="K35" s="437">
        <f t="shared" si="3"/>
        <v>281.912114778052</v>
      </c>
    </row>
    <row r="36" spans="1:11">
      <c r="A36" s="195">
        <v>1967</v>
      </c>
      <c r="B36" s="437">
        <v>486989</v>
      </c>
      <c r="C36" s="437">
        <v>1317.1719933136576</v>
      </c>
      <c r="D36" s="437">
        <f t="shared" si="0"/>
        <v>987.87899498524325</v>
      </c>
      <c r="I36" s="437">
        <f t="shared" si="1"/>
        <v>1317.1719933136576</v>
      </c>
      <c r="J36" s="437">
        <f t="shared" si="2"/>
        <v>987.87899498524325</v>
      </c>
      <c r="K36" s="437">
        <f t="shared" si="3"/>
        <v>329.29299832841434</v>
      </c>
    </row>
    <row r="37" spans="1:11">
      <c r="A37" s="195">
        <v>1968</v>
      </c>
      <c r="B37" s="437">
        <v>486989</v>
      </c>
      <c r="C37" s="437">
        <v>1499.2642034452351</v>
      </c>
      <c r="D37" s="437">
        <f t="shared" si="0"/>
        <v>1124.4481525839265</v>
      </c>
      <c r="I37" s="437">
        <f t="shared" si="1"/>
        <v>1499.2642034452351</v>
      </c>
      <c r="J37" s="437">
        <f t="shared" ref="J37:J54" si="4">D37+H37</f>
        <v>1124.4481525839265</v>
      </c>
      <c r="K37" s="437">
        <f t="shared" si="3"/>
        <v>374.81605086130867</v>
      </c>
    </row>
    <row r="38" spans="1:11">
      <c r="A38" s="195">
        <v>1969</v>
      </c>
      <c r="B38" s="437">
        <v>515062.00000000006</v>
      </c>
      <c r="C38" s="437">
        <v>1674.2164758915605</v>
      </c>
      <c r="D38" s="437">
        <f t="shared" si="0"/>
        <v>1255.6623569186704</v>
      </c>
      <c r="I38" s="437">
        <f t="shared" si="1"/>
        <v>1674.2164758915605</v>
      </c>
      <c r="J38" s="437">
        <f t="shared" si="4"/>
        <v>1255.6623569186704</v>
      </c>
      <c r="K38" s="437">
        <f t="shared" si="3"/>
        <v>418.55411897289014</v>
      </c>
    </row>
    <row r="39" spans="1:11">
      <c r="A39" s="195">
        <v>1970</v>
      </c>
      <c r="B39" s="437">
        <v>515062.00000000006</v>
      </c>
      <c r="C39" s="437">
        <v>1855.7829205624378</v>
      </c>
      <c r="D39" s="437">
        <f t="shared" si="0"/>
        <v>1391.8371904218284</v>
      </c>
      <c r="I39" s="437">
        <f t="shared" si="1"/>
        <v>1855.7829205624378</v>
      </c>
      <c r="J39" s="437">
        <f t="shared" si="4"/>
        <v>1391.8371904218284</v>
      </c>
      <c r="K39" s="437">
        <f t="shared" si="3"/>
        <v>463.94573014060938</v>
      </c>
    </row>
    <row r="40" spans="1:11">
      <c r="A40" s="195">
        <v>1971</v>
      </c>
      <c r="B40" s="437">
        <v>515062.00000000006</v>
      </c>
      <c r="C40" s="437">
        <v>2030.2300431066517</v>
      </c>
      <c r="D40" s="437">
        <f t="shared" si="0"/>
        <v>1522.6725323299888</v>
      </c>
      <c r="I40" s="437">
        <f t="shared" si="1"/>
        <v>2030.2300431066517</v>
      </c>
      <c r="J40" s="437">
        <f t="shared" si="4"/>
        <v>1522.6725323299888</v>
      </c>
      <c r="K40" s="437">
        <f t="shared" si="3"/>
        <v>507.55751077666287</v>
      </c>
    </row>
    <row r="41" spans="1:11">
      <c r="A41" s="195">
        <v>1972</v>
      </c>
      <c r="B41" s="437">
        <v>515062.00000000006</v>
      </c>
      <c r="C41" s="437">
        <v>2197.8369961376434</v>
      </c>
      <c r="D41" s="437">
        <f t="shared" si="0"/>
        <v>1648.3777471032327</v>
      </c>
      <c r="I41" s="437">
        <f t="shared" si="1"/>
        <v>2197.8369961376434</v>
      </c>
      <c r="J41" s="437">
        <f t="shared" si="4"/>
        <v>1648.3777471032327</v>
      </c>
      <c r="K41" s="437">
        <f t="shared" si="3"/>
        <v>549.45924903441073</v>
      </c>
    </row>
    <row r="42" spans="1:11">
      <c r="A42" s="195">
        <v>1973</v>
      </c>
      <c r="B42" s="437">
        <v>515062.00000000006</v>
      </c>
      <c r="C42" s="437">
        <v>2358.87198653832</v>
      </c>
      <c r="D42" s="437">
        <f t="shared" si="0"/>
        <v>1769.15398990374</v>
      </c>
      <c r="I42" s="437">
        <f t="shared" si="1"/>
        <v>2358.87198653832</v>
      </c>
      <c r="J42" s="437">
        <f t="shared" si="4"/>
        <v>1769.15398990374</v>
      </c>
      <c r="K42" s="437">
        <f t="shared" si="3"/>
        <v>589.71799663458</v>
      </c>
    </row>
    <row r="43" spans="1:11">
      <c r="A43" s="195">
        <v>1974</v>
      </c>
      <c r="B43" s="437">
        <v>515062.00000000006</v>
      </c>
      <c r="C43" s="437">
        <v>2513.5927046492857</v>
      </c>
      <c r="D43" s="437">
        <f t="shared" si="0"/>
        <v>1885.1945284869644</v>
      </c>
      <c r="I43" s="437">
        <f t="shared" si="1"/>
        <v>2513.5927046492857</v>
      </c>
      <c r="J43" s="437">
        <f t="shared" si="4"/>
        <v>1885.1945284869644</v>
      </c>
      <c r="K43" s="437">
        <f t="shared" si="3"/>
        <v>628.39817616232131</v>
      </c>
    </row>
    <row r="44" spans="1:11">
      <c r="A44" s="195">
        <v>1975</v>
      </c>
      <c r="B44" s="437">
        <v>515062.00000000006</v>
      </c>
      <c r="C44" s="437">
        <v>2662.246736628364</v>
      </c>
      <c r="D44" s="437">
        <f t="shared" si="0"/>
        <v>1996.6850524712731</v>
      </c>
      <c r="I44" s="437">
        <f t="shared" si="1"/>
        <v>2662.246736628364</v>
      </c>
      <c r="J44" s="437">
        <f t="shared" si="4"/>
        <v>1996.6850524712731</v>
      </c>
      <c r="K44" s="437">
        <f t="shared" si="3"/>
        <v>665.56168415709089</v>
      </c>
    </row>
    <row r="45" spans="1:11">
      <c r="A45" s="195">
        <v>1976</v>
      </c>
      <c r="B45" s="437">
        <v>515062.00000000006</v>
      </c>
      <c r="C45" s="437">
        <v>2805.0719606412754</v>
      </c>
      <c r="D45" s="437">
        <f t="shared" si="0"/>
        <v>2103.8039704809567</v>
      </c>
      <c r="I45" s="437">
        <f t="shared" si="1"/>
        <v>2805.0719606412754</v>
      </c>
      <c r="J45" s="437">
        <f t="shared" si="4"/>
        <v>2103.8039704809567</v>
      </c>
      <c r="K45" s="437">
        <f t="shared" si="3"/>
        <v>701.26799016031873</v>
      </c>
    </row>
    <row r="46" spans="1:11">
      <c r="A46" s="195">
        <v>1977</v>
      </c>
      <c r="B46" s="437">
        <v>489147</v>
      </c>
      <c r="C46" s="437">
        <v>2942.2969275174455</v>
      </c>
      <c r="D46" s="437">
        <f t="shared" si="0"/>
        <v>2206.7226956380841</v>
      </c>
      <c r="I46" s="437">
        <f t="shared" si="1"/>
        <v>2942.2969275174455</v>
      </c>
      <c r="J46" s="437">
        <f t="shared" si="4"/>
        <v>2206.7226956380841</v>
      </c>
      <c r="K46" s="437">
        <f t="shared" si="3"/>
        <v>735.57423187936138</v>
      </c>
    </row>
    <row r="47" spans="1:11">
      <c r="A47" s="195">
        <v>1978</v>
      </c>
      <c r="B47" s="437">
        <v>478147</v>
      </c>
      <c r="C47" s="437">
        <v>3061.7028490353346</v>
      </c>
      <c r="D47" s="437">
        <f t="shared" si="0"/>
        <v>2296.2771367765008</v>
      </c>
      <c r="I47" s="437">
        <f t="shared" si="1"/>
        <v>3061.7028490353346</v>
      </c>
      <c r="J47" s="437">
        <f t="shared" si="4"/>
        <v>2296.2771367765008</v>
      </c>
      <c r="K47" s="437">
        <f t="shared" si="3"/>
        <v>765.42571225883376</v>
      </c>
    </row>
    <row r="48" spans="1:11">
      <c r="A48" s="195">
        <v>1979</v>
      </c>
      <c r="B48" s="437">
        <v>206120</v>
      </c>
      <c r="C48" s="437">
        <v>3171.1471465475502</v>
      </c>
      <c r="D48" s="437">
        <f t="shared" si="0"/>
        <v>2378.3603599106627</v>
      </c>
      <c r="I48" s="437">
        <f t="shared" si="1"/>
        <v>3171.1471465475502</v>
      </c>
      <c r="J48" s="437">
        <f t="shared" si="4"/>
        <v>2378.3603599106627</v>
      </c>
      <c r="K48" s="437">
        <f t="shared" si="3"/>
        <v>792.78678663688743</v>
      </c>
    </row>
    <row r="49" spans="1:11">
      <c r="A49" s="195">
        <v>1980</v>
      </c>
      <c r="B49" s="437">
        <v>206120</v>
      </c>
      <c r="C49" s="437">
        <v>3145.7357460476169</v>
      </c>
      <c r="D49" s="437">
        <f t="shared" si="0"/>
        <v>2359.3018095357129</v>
      </c>
      <c r="I49" s="437">
        <f t="shared" si="1"/>
        <v>3145.7357460476169</v>
      </c>
      <c r="J49" s="437">
        <f t="shared" si="4"/>
        <v>2359.3018095357129</v>
      </c>
      <c r="K49" s="437">
        <f t="shared" si="3"/>
        <v>786.43393651190399</v>
      </c>
    </row>
    <row r="50" spans="1:11">
      <c r="A50" s="195">
        <v>1981</v>
      </c>
      <c r="B50" s="437">
        <v>206120</v>
      </c>
      <c r="C50" s="437">
        <v>3121.3207408132116</v>
      </c>
      <c r="D50" s="437">
        <f t="shared" si="0"/>
        <v>2340.9905556099088</v>
      </c>
      <c r="I50" s="437">
        <f t="shared" si="1"/>
        <v>3121.3207408132116</v>
      </c>
      <c r="J50" s="437">
        <f t="shared" si="4"/>
        <v>2340.9905556099088</v>
      </c>
      <c r="K50" s="437">
        <f t="shared" si="3"/>
        <v>780.33018520330279</v>
      </c>
    </row>
    <row r="51" spans="1:11">
      <c r="A51" s="195">
        <v>1982</v>
      </c>
      <c r="B51" s="437">
        <v>206120</v>
      </c>
      <c r="C51" s="437">
        <v>3097.8630616271457</v>
      </c>
      <c r="D51" s="437">
        <f t="shared" si="0"/>
        <v>2323.3972962203593</v>
      </c>
      <c r="I51" s="437">
        <f t="shared" si="1"/>
        <v>3097.8630616271457</v>
      </c>
      <c r="J51" s="437">
        <f t="shared" si="4"/>
        <v>2323.3972962203593</v>
      </c>
      <c r="K51" s="437">
        <f t="shared" si="3"/>
        <v>774.46576540678643</v>
      </c>
    </row>
    <row r="52" spans="1:11">
      <c r="A52" s="195">
        <v>1983</v>
      </c>
      <c r="B52" s="437">
        <v>206120</v>
      </c>
      <c r="C52" s="437">
        <v>3075.3251711981507</v>
      </c>
      <c r="D52" s="437">
        <f t="shared" si="0"/>
        <v>2306.4938783986131</v>
      </c>
      <c r="I52" s="437">
        <f t="shared" si="1"/>
        <v>3075.3251711981507</v>
      </c>
      <c r="J52" s="437">
        <f t="shared" si="4"/>
        <v>2306.4938783986131</v>
      </c>
      <c r="K52" s="437">
        <f t="shared" si="3"/>
        <v>768.83129279953755</v>
      </c>
    </row>
    <row r="53" spans="1:11">
      <c r="A53" s="195">
        <v>1984</v>
      </c>
      <c r="B53" s="437">
        <v>206120</v>
      </c>
      <c r="C53" s="437">
        <v>3053.6710040931998</v>
      </c>
      <c r="D53" s="437">
        <f t="shared" si="0"/>
        <v>2290.2532530699</v>
      </c>
      <c r="G53" s="446"/>
      <c r="I53" s="437">
        <f>C53</f>
        <v>3053.6710040931998</v>
      </c>
      <c r="J53" s="437">
        <f t="shared" si="4"/>
        <v>2290.2532530699</v>
      </c>
      <c r="K53" s="437">
        <f t="shared" si="3"/>
        <v>763.41775102329984</v>
      </c>
    </row>
    <row r="54" spans="1:11">
      <c r="A54" s="195">
        <v>1985</v>
      </c>
      <c r="B54" s="437">
        <v>178047</v>
      </c>
      <c r="C54" s="437">
        <v>3032.8659090251235</v>
      </c>
      <c r="D54" s="437">
        <f t="shared" si="0"/>
        <v>2274.6494317688425</v>
      </c>
      <c r="I54" s="437">
        <f t="shared" si="1"/>
        <v>3032.8659090251235</v>
      </c>
      <c r="J54" s="437">
        <f t="shared" si="4"/>
        <v>2274.6494317688425</v>
      </c>
      <c r="K54" s="437">
        <f t="shared" si="3"/>
        <v>758.216477256281</v>
      </c>
    </row>
    <row r="55" spans="1:11">
      <c r="A55" s="195">
        <v>1986</v>
      </c>
      <c r="B55" s="437">
        <v>178047</v>
      </c>
      <c r="C55" s="437">
        <v>2999.402444454407</v>
      </c>
      <c r="D55" s="437">
        <f t="shared" si="0"/>
        <v>2249.5518333408054</v>
      </c>
      <c r="G55" s="446"/>
      <c r="I55" s="437">
        <f>C55</f>
        <v>2999.402444454407</v>
      </c>
      <c r="J55" s="437">
        <f>D55</f>
        <v>2249.5518333408054</v>
      </c>
      <c r="K55" s="437">
        <f t="shared" si="3"/>
        <v>749.85061111360164</v>
      </c>
    </row>
    <row r="56" spans="1:11">
      <c r="A56" s="195">
        <v>1987</v>
      </c>
      <c r="B56" s="437">
        <v>178047</v>
      </c>
      <c r="C56" s="437">
        <v>2967.2511010974144</v>
      </c>
      <c r="D56" s="437">
        <f t="shared" si="0"/>
        <v>2225.4383258230609</v>
      </c>
      <c r="I56" s="437">
        <f>C56</f>
        <v>2967.2511010974144</v>
      </c>
      <c r="J56" s="437">
        <f>D56</f>
        <v>2225.4383258230609</v>
      </c>
      <c r="K56" s="437">
        <f t="shared" si="3"/>
        <v>741.8127752743535</v>
      </c>
    </row>
    <row r="57" spans="1:11">
      <c r="A57" s="195">
        <v>1988</v>
      </c>
      <c r="B57" s="437">
        <v>178047</v>
      </c>
      <c r="C57" s="437">
        <v>2936.3604299454569</v>
      </c>
      <c r="D57" s="437">
        <f t="shared" si="0"/>
        <v>2202.2703224590928</v>
      </c>
      <c r="E57" s="195">
        <v>1988</v>
      </c>
      <c r="F57" s="437">
        <v>234079.00000000003</v>
      </c>
      <c r="G57" s="437">
        <v>0</v>
      </c>
      <c r="H57" s="437">
        <f>G57*0.75</f>
        <v>0</v>
      </c>
      <c r="I57" s="437">
        <f t="shared" si="1"/>
        <v>2936.3604299454569</v>
      </c>
      <c r="J57" s="437">
        <f t="shared" ref="J57:J88" si="5">D57+H57</f>
        <v>2202.2703224590928</v>
      </c>
      <c r="K57" s="437">
        <f t="shared" si="3"/>
        <v>734.0901074863641</v>
      </c>
    </row>
    <row r="58" spans="1:11">
      <c r="A58" s="195">
        <v>1989</v>
      </c>
      <c r="B58" s="437">
        <v>0</v>
      </c>
      <c r="C58" s="437">
        <v>2906.6809993343281</v>
      </c>
      <c r="D58" s="437">
        <f t="shared" si="0"/>
        <v>2180.010749500746</v>
      </c>
      <c r="E58" s="195">
        <v>1989</v>
      </c>
      <c r="F58" s="437">
        <v>553317.30000000005</v>
      </c>
      <c r="G58" s="437">
        <v>112.35049021387239</v>
      </c>
      <c r="H58" s="437">
        <f t="shared" ref="H58:H121" si="6">G58*0.75</f>
        <v>84.262867660404297</v>
      </c>
      <c r="I58" s="437">
        <f t="shared" si="1"/>
        <v>3019.0314895482006</v>
      </c>
      <c r="J58" s="437">
        <f t="shared" si="5"/>
        <v>2264.2736171611505</v>
      </c>
      <c r="K58" s="437">
        <f t="shared" si="3"/>
        <v>754.75787238705016</v>
      </c>
    </row>
    <row r="59" spans="1:11">
      <c r="A59" s="195">
        <v>1990</v>
      </c>
      <c r="B59" s="437">
        <v>0</v>
      </c>
      <c r="C59" s="437">
        <v>2792.7084071451441</v>
      </c>
      <c r="D59" s="437">
        <f t="shared" si="0"/>
        <v>2094.5313053588579</v>
      </c>
      <c r="E59" s="195">
        <v>1990</v>
      </c>
      <c r="F59" s="437">
        <v>583156.9</v>
      </c>
      <c r="G59" s="437">
        <v>373.51990590946582</v>
      </c>
      <c r="H59" s="437">
        <f t="shared" si="6"/>
        <v>280.13992943209939</v>
      </c>
      <c r="I59" s="437">
        <f t="shared" si="1"/>
        <v>3166.2283130546098</v>
      </c>
      <c r="J59" s="437">
        <f t="shared" si="5"/>
        <v>2374.6712347909574</v>
      </c>
      <c r="K59" s="437">
        <f t="shared" si="3"/>
        <v>791.55707826365233</v>
      </c>
    </row>
    <row r="60" spans="1:11">
      <c r="A60" s="195">
        <v>1991</v>
      </c>
      <c r="B60" s="437">
        <v>0</v>
      </c>
      <c r="C60" s="437">
        <v>2683.2047442169614</v>
      </c>
      <c r="D60" s="437">
        <f t="shared" si="0"/>
        <v>2012.4035581627211</v>
      </c>
      <c r="E60" s="195">
        <v>1991</v>
      </c>
      <c r="F60" s="437">
        <v>643728.80000000005</v>
      </c>
      <c r="G60" s="437">
        <v>638.77078321534361</v>
      </c>
      <c r="H60" s="437">
        <f t="shared" si="6"/>
        <v>479.07808741150768</v>
      </c>
      <c r="I60" s="437">
        <f t="shared" si="1"/>
        <v>3321.9755274323052</v>
      </c>
      <c r="J60" s="437">
        <f t="shared" si="5"/>
        <v>2491.4816455742289</v>
      </c>
      <c r="K60" s="437">
        <f t="shared" si="3"/>
        <v>830.49388185807629</v>
      </c>
    </row>
    <row r="61" spans="1:11">
      <c r="A61" s="195">
        <v>1992</v>
      </c>
      <c r="B61" s="437">
        <v>0</v>
      </c>
      <c r="C61" s="437">
        <v>2577.9947813270664</v>
      </c>
      <c r="D61" s="437">
        <f t="shared" si="0"/>
        <v>1933.4960859952998</v>
      </c>
      <c r="E61" s="195">
        <v>1992</v>
      </c>
      <c r="F61" s="437">
        <v>530674.50000000012</v>
      </c>
      <c r="G61" s="437">
        <v>922.69361427390641</v>
      </c>
      <c r="H61" s="437">
        <f t="shared" si="6"/>
        <v>692.0202107054298</v>
      </c>
      <c r="I61" s="437">
        <f t="shared" si="1"/>
        <v>3500.6883956009729</v>
      </c>
      <c r="J61" s="437">
        <f t="shared" si="5"/>
        <v>2625.5162967007295</v>
      </c>
      <c r="K61" s="437">
        <f t="shared" si="3"/>
        <v>875.17209890024333</v>
      </c>
    </row>
    <row r="62" spans="1:11">
      <c r="A62" s="195">
        <v>1993</v>
      </c>
      <c r="B62" s="437">
        <v>0</v>
      </c>
      <c r="C62" s="437">
        <v>2476.9101600888489</v>
      </c>
      <c r="D62" s="437">
        <f t="shared" si="0"/>
        <v>1857.6826200666367</v>
      </c>
      <c r="E62" s="195">
        <v>1993</v>
      </c>
      <c r="F62" s="437">
        <v>443215.1</v>
      </c>
      <c r="G62" s="437">
        <v>1141.221196289998</v>
      </c>
      <c r="H62" s="437">
        <f t="shared" si="6"/>
        <v>855.91589721749847</v>
      </c>
      <c r="I62" s="437">
        <f t="shared" si="1"/>
        <v>3618.1313563788472</v>
      </c>
      <c r="J62" s="437">
        <f t="shared" si="5"/>
        <v>2713.5985172841351</v>
      </c>
      <c r="K62" s="437">
        <f t="shared" si="3"/>
        <v>904.53283909471202</v>
      </c>
    </row>
    <row r="63" spans="1:11">
      <c r="A63" s="195">
        <v>1994</v>
      </c>
      <c r="B63" s="437">
        <v>0</v>
      </c>
      <c r="C63" s="437">
        <v>2379.7891235424563</v>
      </c>
      <c r="D63" s="437">
        <f t="shared" si="0"/>
        <v>1784.8418426568423</v>
      </c>
      <c r="E63" s="195">
        <v>1994</v>
      </c>
      <c r="F63" s="437">
        <v>557188.80000000005</v>
      </c>
      <c r="G63" s="437">
        <v>1309.2024532602466</v>
      </c>
      <c r="H63" s="437">
        <f t="shared" si="6"/>
        <v>981.90183994518497</v>
      </c>
      <c r="I63" s="437">
        <f t="shared" si="1"/>
        <v>3688.9915768027031</v>
      </c>
      <c r="J63" s="437">
        <f t="shared" si="5"/>
        <v>2766.7436826020275</v>
      </c>
      <c r="K63" s="437">
        <f t="shared" si="3"/>
        <v>922.24789420067555</v>
      </c>
    </row>
    <row r="64" spans="1:11">
      <c r="A64" s="195">
        <v>1995</v>
      </c>
      <c r="B64" s="437">
        <v>0</v>
      </c>
      <c r="C64" s="437">
        <v>2286.4762573091548</v>
      </c>
      <c r="D64" s="437">
        <f t="shared" si="0"/>
        <v>1714.8571929818661</v>
      </c>
      <c r="E64" s="195">
        <v>1995</v>
      </c>
      <c r="F64" s="437">
        <v>451296</v>
      </c>
      <c r="G64" s="437">
        <v>1525.300829349776</v>
      </c>
      <c r="H64" s="437">
        <f t="shared" si="6"/>
        <v>1143.975622012332</v>
      </c>
      <c r="I64" s="437">
        <f t="shared" si="1"/>
        <v>3811.7770866589308</v>
      </c>
      <c r="J64" s="437">
        <f t="shared" si="5"/>
        <v>2858.8328149941981</v>
      </c>
      <c r="K64" s="437">
        <f t="shared" si="3"/>
        <v>952.9442716647327</v>
      </c>
    </row>
    <row r="65" spans="1:11">
      <c r="A65" s="195">
        <v>1996</v>
      </c>
      <c r="B65" s="437">
        <v>0</v>
      </c>
      <c r="C65" s="437">
        <v>2196.822240895166</v>
      </c>
      <c r="D65" s="437">
        <f t="shared" si="0"/>
        <v>1647.6166806713745</v>
      </c>
      <c r="E65" s="195">
        <v>1996</v>
      </c>
      <c r="F65" s="437">
        <v>482492</v>
      </c>
      <c r="G65" s="437">
        <v>1682.1006840057178</v>
      </c>
      <c r="H65" s="437">
        <f t="shared" si="6"/>
        <v>1261.5755130042883</v>
      </c>
      <c r="I65" s="437">
        <f>C65+G65</f>
        <v>3878.922924900884</v>
      </c>
      <c r="J65" s="437">
        <f>D65+H65</f>
        <v>2909.1921936756626</v>
      </c>
      <c r="K65" s="437">
        <f>I65-J65</f>
        <v>969.73073122522146</v>
      </c>
    </row>
    <row r="66" spans="1:11">
      <c r="A66" s="195">
        <v>1997</v>
      </c>
      <c r="B66" s="437">
        <v>0</v>
      </c>
      <c r="C66" s="437">
        <v>2110.6836087470165</v>
      </c>
      <c r="D66" s="437">
        <f t="shared" si="0"/>
        <v>1583.0127065602624</v>
      </c>
      <c r="E66" s="195">
        <v>1997</v>
      </c>
      <c r="F66" s="437">
        <v>663440.20000000007</v>
      </c>
      <c r="G66" s="437">
        <v>1847.7254182429108</v>
      </c>
      <c r="H66" s="437">
        <f t="shared" si="6"/>
        <v>1385.7940636821832</v>
      </c>
      <c r="I66" s="437">
        <f t="shared" si="1"/>
        <v>3958.409026989927</v>
      </c>
      <c r="J66" s="437">
        <f t="shared" si="5"/>
        <v>2968.8067702424455</v>
      </c>
      <c r="K66" s="437">
        <f t="shared" si="3"/>
        <v>989.60225674748153</v>
      </c>
    </row>
    <row r="67" spans="1:11">
      <c r="A67" s="195">
        <v>1998</v>
      </c>
      <c r="B67" s="437">
        <v>0</v>
      </c>
      <c r="C67" s="437">
        <v>2027.9225206760475</v>
      </c>
      <c r="D67" s="437">
        <f t="shared" si="0"/>
        <v>1520.9418905070356</v>
      </c>
      <c r="E67" s="195">
        <v>1998</v>
      </c>
      <c r="F67" s="437">
        <v>644141.9</v>
      </c>
      <c r="G67" s="437">
        <v>2093.7053063728154</v>
      </c>
      <c r="H67" s="437">
        <f t="shared" si="6"/>
        <v>1570.2789797796115</v>
      </c>
      <c r="I67" s="437">
        <f t="shared" si="1"/>
        <v>4121.6278270488629</v>
      </c>
      <c r="J67" s="437">
        <f t="shared" si="5"/>
        <v>3091.2208702866474</v>
      </c>
      <c r="K67" s="437">
        <f t="shared" si="3"/>
        <v>1030.4069567622155</v>
      </c>
    </row>
    <row r="68" spans="1:11">
      <c r="A68" s="195">
        <v>1999</v>
      </c>
      <c r="B68" s="437">
        <v>0</v>
      </c>
      <c r="C68" s="437">
        <v>1948.4065412847053</v>
      </c>
      <c r="D68" s="437">
        <f t="shared" si="0"/>
        <v>1461.3049059635291</v>
      </c>
      <c r="E68" s="195">
        <v>1999</v>
      </c>
      <c r="F68" s="437">
        <v>691517.70000000007</v>
      </c>
      <c r="G68" s="437">
        <v>2320.7776136697235</v>
      </c>
      <c r="H68" s="437">
        <f t="shared" si="6"/>
        <v>1740.5832102522927</v>
      </c>
      <c r="I68" s="437">
        <f t="shared" si="1"/>
        <v>4269.1841549544288</v>
      </c>
      <c r="J68" s="437">
        <f t="shared" si="5"/>
        <v>3201.8881162158218</v>
      </c>
      <c r="K68" s="437">
        <f t="shared" si="3"/>
        <v>1067.296038738607</v>
      </c>
    </row>
    <row r="69" spans="1:11">
      <c r="A69" s="195">
        <v>2000</v>
      </c>
      <c r="B69" s="437">
        <v>0</v>
      </c>
      <c r="C69" s="437">
        <v>1872.0084280416497</v>
      </c>
      <c r="D69" s="437">
        <f t="shared" ref="D69:D132" si="7">C69*0.75</f>
        <v>1404.0063210312373</v>
      </c>
      <c r="E69" s="195">
        <v>2000</v>
      </c>
      <c r="F69" s="437">
        <v>757289.4</v>
      </c>
      <c r="G69" s="437">
        <v>2561.6851687126336</v>
      </c>
      <c r="H69" s="437">
        <f t="shared" si="6"/>
        <v>1921.2638765344752</v>
      </c>
      <c r="I69" s="437">
        <f t="shared" ref="I69:I132" si="8">C69+G69</f>
        <v>4433.6935967542831</v>
      </c>
      <c r="J69" s="437">
        <f t="shared" si="5"/>
        <v>3325.2701975657128</v>
      </c>
      <c r="K69" s="437">
        <f t="shared" ref="K69:K132" si="9">I69-J69</f>
        <v>1108.4233991885703</v>
      </c>
    </row>
    <row r="70" spans="1:11">
      <c r="A70" s="195">
        <v>2001</v>
      </c>
      <c r="B70" s="437">
        <v>0</v>
      </c>
      <c r="C70" s="437">
        <v>1798.6059276665587</v>
      </c>
      <c r="D70" s="437">
        <f t="shared" si="7"/>
        <v>1348.9544457499192</v>
      </c>
      <c r="E70" s="195">
        <v>2001</v>
      </c>
      <c r="F70" s="437">
        <v>763050.70000000007</v>
      </c>
      <c r="G70" s="437">
        <v>2824.714931782768</v>
      </c>
      <c r="H70" s="437">
        <f t="shared" si="6"/>
        <v>2118.536198837076</v>
      </c>
      <c r="I70" s="437">
        <f t="shared" si="8"/>
        <v>4623.3208594493262</v>
      </c>
      <c r="J70" s="437">
        <f t="shared" si="5"/>
        <v>3467.4906445869951</v>
      </c>
      <c r="K70" s="437">
        <f t="shared" si="9"/>
        <v>1155.8302148623311</v>
      </c>
    </row>
    <row r="71" spans="1:11">
      <c r="A71" s="195">
        <v>2002</v>
      </c>
      <c r="B71" s="437">
        <v>0</v>
      </c>
      <c r="C71" s="437">
        <v>1728.0815804987972</v>
      </c>
      <c r="D71" s="437">
        <f t="shared" si="7"/>
        <v>1296.0611853740979</v>
      </c>
      <c r="E71" s="195">
        <v>2002</v>
      </c>
      <c r="F71" s="437">
        <v>771057.8</v>
      </c>
      <c r="G71" s="437">
        <v>3080.1963914567077</v>
      </c>
      <c r="H71" s="437">
        <f t="shared" si="6"/>
        <v>2310.1472935925308</v>
      </c>
      <c r="I71" s="437">
        <f t="shared" si="8"/>
        <v>4808.2779719555047</v>
      </c>
      <c r="J71" s="437">
        <f t="shared" si="5"/>
        <v>3606.2084789666287</v>
      </c>
      <c r="K71" s="437">
        <f t="shared" si="9"/>
        <v>1202.0694929888759</v>
      </c>
    </row>
    <row r="72" spans="1:11">
      <c r="A72" s="195">
        <v>2003</v>
      </c>
      <c r="B72" s="437">
        <v>0</v>
      </c>
      <c r="C72" s="437">
        <v>1660.3225325368996</v>
      </c>
      <c r="D72" s="437">
        <f t="shared" si="7"/>
        <v>1245.2418994026748</v>
      </c>
      <c r="E72" s="195">
        <v>2003</v>
      </c>
      <c r="F72" s="437">
        <v>883140.30000000016</v>
      </c>
      <c r="G72" s="437">
        <v>3329.5034336612357</v>
      </c>
      <c r="H72" s="437">
        <f t="shared" si="6"/>
        <v>2497.1275752459269</v>
      </c>
      <c r="I72" s="437">
        <f t="shared" si="8"/>
        <v>4989.8259661981356</v>
      </c>
      <c r="J72" s="437">
        <f t="shared" si="5"/>
        <v>3742.3694746486017</v>
      </c>
      <c r="K72" s="437">
        <f t="shared" si="9"/>
        <v>1247.4564915495339</v>
      </c>
    </row>
    <row r="73" spans="1:11">
      <c r="A73" s="195">
        <v>2004</v>
      </c>
      <c r="B73" s="437">
        <v>0</v>
      </c>
      <c r="C73" s="437">
        <v>1595.2203548480925</v>
      </c>
      <c r="D73" s="437">
        <f t="shared" si="7"/>
        <v>1196.4152661360695</v>
      </c>
      <c r="E73" s="195">
        <v>2004</v>
      </c>
      <c r="F73" s="437">
        <v>767055.3</v>
      </c>
      <c r="G73" s="437">
        <v>3622.831049362278</v>
      </c>
      <c r="H73" s="437">
        <f t="shared" si="6"/>
        <v>2717.1232870217086</v>
      </c>
      <c r="I73" s="437">
        <f t="shared" si="8"/>
        <v>5218.0514042103705</v>
      </c>
      <c r="J73" s="437">
        <f t="shared" si="5"/>
        <v>3913.5385531577781</v>
      </c>
      <c r="K73" s="437">
        <f t="shared" si="9"/>
        <v>1304.5128510525924</v>
      </c>
    </row>
    <row r="74" spans="1:11">
      <c r="A74" s="195">
        <v>2005</v>
      </c>
      <c r="B74" s="437">
        <v>0</v>
      </c>
      <c r="C74" s="437">
        <v>1532.6708700588686</v>
      </c>
      <c r="D74" s="437">
        <f t="shared" si="7"/>
        <v>1149.5031525441514</v>
      </c>
      <c r="E74" s="195">
        <v>2005</v>
      </c>
      <c r="F74" s="437">
        <v>682298.5</v>
      </c>
      <c r="G74" s="437">
        <v>3848.9400093363215</v>
      </c>
      <c r="H74" s="437">
        <f t="shared" si="6"/>
        <v>2886.705007002241</v>
      </c>
      <c r="I74" s="437">
        <f t="shared" si="8"/>
        <v>5381.6108793951898</v>
      </c>
      <c r="J74" s="437">
        <f t="shared" si="5"/>
        <v>4036.2081595463924</v>
      </c>
      <c r="K74" s="437">
        <f t="shared" si="9"/>
        <v>1345.4027198487975</v>
      </c>
    </row>
    <row r="75" spans="1:11">
      <c r="A75" s="195">
        <v>2006</v>
      </c>
      <c r="B75" s="437">
        <v>0</v>
      </c>
      <c r="C75" s="437">
        <v>1472.5739856489636</v>
      </c>
      <c r="D75" s="437">
        <f t="shared" si="7"/>
        <v>1104.4304892367227</v>
      </c>
      <c r="E75" s="195">
        <v>2006</v>
      </c>
      <c r="F75" s="437">
        <v>640486.69999999995</v>
      </c>
      <c r="G75" s="437">
        <v>4025.5025364008961</v>
      </c>
      <c r="H75" s="437">
        <f t="shared" si="6"/>
        <v>3019.1269023006721</v>
      </c>
      <c r="I75" s="437">
        <f t="shared" si="8"/>
        <v>5498.0765220498597</v>
      </c>
      <c r="J75" s="437">
        <f t="shared" si="5"/>
        <v>4123.5573915373952</v>
      </c>
      <c r="K75" s="437">
        <f t="shared" si="9"/>
        <v>1374.5191305124645</v>
      </c>
    </row>
    <row r="76" spans="1:11">
      <c r="A76" s="195">
        <v>2007</v>
      </c>
      <c r="B76" s="437">
        <v>0</v>
      </c>
      <c r="C76" s="437">
        <v>1414.833533781969</v>
      </c>
      <c r="D76" s="437">
        <f t="shared" si="7"/>
        <v>1061.1251503364767</v>
      </c>
      <c r="E76" s="195">
        <v>2007</v>
      </c>
      <c r="F76" s="437">
        <v>597916.19999999995</v>
      </c>
      <c r="G76" s="437">
        <v>4175.0736108823157</v>
      </c>
      <c r="H76" s="437">
        <f t="shared" si="6"/>
        <v>3131.305208161737</v>
      </c>
      <c r="I76" s="437">
        <f t="shared" si="8"/>
        <v>5589.9071446642847</v>
      </c>
      <c r="J76" s="437">
        <f t="shared" si="5"/>
        <v>4192.4303584982135</v>
      </c>
      <c r="K76" s="437">
        <f t="shared" si="9"/>
        <v>1397.4767861660712</v>
      </c>
    </row>
    <row r="77" spans="1:11">
      <c r="A77" s="195">
        <v>2008</v>
      </c>
      <c r="B77" s="437">
        <v>0</v>
      </c>
      <c r="C77" s="437">
        <v>1359.3571174162776</v>
      </c>
      <c r="D77" s="437">
        <f t="shared" si="7"/>
        <v>1019.5178380622082</v>
      </c>
      <c r="E77" s="195">
        <v>2008</v>
      </c>
      <c r="F77" s="437">
        <v>549608.19999999995</v>
      </c>
      <c r="G77" s="437">
        <v>4298.3474308559798</v>
      </c>
      <c r="H77" s="437">
        <f t="shared" si="6"/>
        <v>3223.7605731419849</v>
      </c>
      <c r="I77" s="437">
        <f t="shared" si="8"/>
        <v>5657.7045482722569</v>
      </c>
      <c r="J77" s="437">
        <f t="shared" si="5"/>
        <v>4243.2784112041927</v>
      </c>
      <c r="K77" s="437">
        <f t="shared" si="9"/>
        <v>1414.4261370680642</v>
      </c>
    </row>
    <row r="78" spans="1:11">
      <c r="A78" s="195">
        <v>2009</v>
      </c>
      <c r="B78" s="437">
        <v>0</v>
      </c>
      <c r="C78" s="437">
        <v>1306.0559624501045</v>
      </c>
      <c r="D78" s="437">
        <f t="shared" si="7"/>
        <v>979.54197183757833</v>
      </c>
      <c r="E78" s="195">
        <v>2009</v>
      </c>
      <c r="F78" s="437">
        <v>479358.7</v>
      </c>
      <c r="G78" s="437">
        <v>4393.6013085310533</v>
      </c>
      <c r="H78" s="437">
        <f t="shared" si="6"/>
        <v>3295.20098139829</v>
      </c>
      <c r="I78" s="437">
        <f t="shared" si="8"/>
        <v>5699.657270981158</v>
      </c>
      <c r="J78" s="437">
        <f t="shared" si="5"/>
        <v>4274.7429532358683</v>
      </c>
      <c r="K78" s="437">
        <f t="shared" si="9"/>
        <v>1424.9143177452897</v>
      </c>
    </row>
    <row r="79" spans="1:11">
      <c r="A79" s="195">
        <v>2010</v>
      </c>
      <c r="B79" s="437">
        <v>0</v>
      </c>
      <c r="C79" s="437">
        <v>1254.8447756639835</v>
      </c>
      <c r="D79" s="437">
        <f t="shared" si="7"/>
        <v>941.13358174798759</v>
      </c>
      <c r="E79" s="195">
        <v>2010</v>
      </c>
      <c r="F79" s="437">
        <v>530107</v>
      </c>
      <c r="G79" s="437">
        <v>4451.4026979943119</v>
      </c>
      <c r="H79" s="437">
        <f t="shared" si="6"/>
        <v>3338.5520234957339</v>
      </c>
      <c r="I79" s="437">
        <f>C79+G79</f>
        <v>5706.2474736582953</v>
      </c>
      <c r="J79" s="437">
        <f t="shared" si="5"/>
        <v>4279.6856052437215</v>
      </c>
      <c r="K79" s="437">
        <f t="shared" si="9"/>
        <v>1426.5618684145738</v>
      </c>
    </row>
    <row r="80" spans="1:11">
      <c r="A80" s="195">
        <v>2011</v>
      </c>
      <c r="B80" s="437">
        <v>0</v>
      </c>
      <c r="C80" s="437">
        <v>1205.6416082334213</v>
      </c>
      <c r="D80" s="437">
        <f t="shared" si="7"/>
        <v>904.23120617506595</v>
      </c>
      <c r="E80" s="195">
        <v>2011</v>
      </c>
      <c r="F80" s="437">
        <v>495855.70000000007</v>
      </c>
      <c r="G80" s="437">
        <v>4531.2952357821723</v>
      </c>
      <c r="H80" s="437">
        <f t="shared" si="6"/>
        <v>3398.4714268366292</v>
      </c>
      <c r="I80" s="437">
        <f t="shared" si="8"/>
        <v>5736.936844015594</v>
      </c>
      <c r="J80" s="437">
        <f t="shared" si="5"/>
        <v>4302.7026330116951</v>
      </c>
      <c r="K80" s="437">
        <f t="shared" si="9"/>
        <v>1434.234211003899</v>
      </c>
    </row>
    <row r="81" spans="1:11">
      <c r="A81" s="195">
        <v>2012</v>
      </c>
      <c r="B81" s="437">
        <v>0</v>
      </c>
      <c r="C81" s="437">
        <v>1158.3677245932938</v>
      </c>
      <c r="D81" s="437">
        <f t="shared" si="7"/>
        <v>868.7757934449703</v>
      </c>
      <c r="E81" s="195">
        <v>2012</v>
      </c>
      <c r="F81" s="437">
        <v>539394.5</v>
      </c>
      <c r="G81" s="437">
        <v>4591.6156055094534</v>
      </c>
      <c r="H81" s="437">
        <f t="shared" si="6"/>
        <v>3443.7117041320898</v>
      </c>
      <c r="I81" s="437">
        <f t="shared" si="8"/>
        <v>5749.9833301027475</v>
      </c>
      <c r="J81" s="437">
        <f t="shared" si="5"/>
        <v>4312.4874975770599</v>
      </c>
      <c r="K81" s="437">
        <f t="shared" si="9"/>
        <v>1437.4958325256875</v>
      </c>
    </row>
    <row r="82" spans="1:11">
      <c r="A82" s="195">
        <v>2013</v>
      </c>
      <c r="B82" s="437">
        <v>0</v>
      </c>
      <c r="C82" s="437">
        <v>1112.9474764441438</v>
      </c>
      <c r="D82" s="437">
        <f t="shared" si="7"/>
        <v>834.71060733310787</v>
      </c>
      <c r="E82" s="195">
        <v>2013</v>
      </c>
      <c r="F82" s="437">
        <v>535414.80000000016</v>
      </c>
      <c r="G82" s="437">
        <v>4670.4680217656032</v>
      </c>
      <c r="H82" s="437">
        <f t="shared" si="6"/>
        <v>3502.8510163242026</v>
      </c>
      <c r="I82" s="437">
        <f t="shared" si="8"/>
        <v>5783.4154982097471</v>
      </c>
      <c r="J82" s="437">
        <f t="shared" si="5"/>
        <v>4337.5616236573105</v>
      </c>
      <c r="K82" s="437">
        <f t="shared" si="9"/>
        <v>1445.8538745524365</v>
      </c>
    </row>
    <row r="83" spans="1:11">
      <c r="A83" s="195">
        <v>2014</v>
      </c>
      <c r="B83" s="437">
        <v>0</v>
      </c>
      <c r="C83" s="437">
        <v>1069.3081816987622</v>
      </c>
      <c r="D83" s="437">
        <f t="shared" si="7"/>
        <v>801.98113627407156</v>
      </c>
      <c r="E83" s="195">
        <v>2014</v>
      </c>
      <c r="F83" s="437">
        <v>518713.4</v>
      </c>
      <c r="G83" s="437">
        <v>4744.3184608738511</v>
      </c>
      <c r="H83" s="437">
        <f t="shared" si="6"/>
        <v>3558.2388456553881</v>
      </c>
      <c r="I83" s="437">
        <f t="shared" si="8"/>
        <v>5813.6266425726135</v>
      </c>
      <c r="J83" s="437">
        <f t="shared" si="5"/>
        <v>4360.2199819294601</v>
      </c>
      <c r="K83" s="437">
        <f t="shared" si="9"/>
        <v>1453.4066606431534</v>
      </c>
    </row>
    <row r="84" spans="1:11">
      <c r="A84" s="195">
        <v>2015</v>
      </c>
      <c r="B84" s="437">
        <v>0</v>
      </c>
      <c r="C84" s="437">
        <v>1027.3800081753441</v>
      </c>
      <c r="D84" s="437">
        <f t="shared" si="7"/>
        <v>770.535006131508</v>
      </c>
      <c r="E84" s="195">
        <v>2015</v>
      </c>
      <c r="F84" s="437">
        <v>553890.9</v>
      </c>
      <c r="G84" s="437">
        <v>4807.2570409567206</v>
      </c>
      <c r="H84" s="437">
        <f t="shared" si="6"/>
        <v>3605.4427807175407</v>
      </c>
      <c r="I84" s="437">
        <f t="shared" si="8"/>
        <v>5834.6370491320649</v>
      </c>
      <c r="J84" s="437">
        <f t="shared" si="5"/>
        <v>4375.9777868490492</v>
      </c>
      <c r="K84" s="437">
        <f t="shared" si="9"/>
        <v>1458.6592622830158</v>
      </c>
    </row>
    <row r="85" spans="1:11">
      <c r="A85" s="195">
        <v>2016</v>
      </c>
      <c r="B85" s="437">
        <v>0</v>
      </c>
      <c r="C85" s="437">
        <v>987.09586185109833</v>
      </c>
      <c r="D85" s="437">
        <f t="shared" si="7"/>
        <v>740.32189638832369</v>
      </c>
      <c r="E85" s="195">
        <v>2016</v>
      </c>
      <c r="F85" s="437">
        <v>553718.9</v>
      </c>
      <c r="G85" s="437">
        <v>4884.6118474638997</v>
      </c>
      <c r="H85" s="437">
        <f t="shared" si="6"/>
        <v>3663.4588855979246</v>
      </c>
      <c r="I85" s="437">
        <f t="shared" si="8"/>
        <v>5871.7077093149983</v>
      </c>
      <c r="J85" s="437">
        <f t="shared" si="5"/>
        <v>4403.7807819862483</v>
      </c>
      <c r="K85" s="437">
        <f t="shared" si="9"/>
        <v>1467.92692732875</v>
      </c>
    </row>
    <row r="86" spans="1:11">
      <c r="A86" s="195">
        <v>2017</v>
      </c>
      <c r="B86" s="437">
        <v>0</v>
      </c>
      <c r="C86" s="437">
        <v>948.39127949749593</v>
      </c>
      <c r="D86" s="437">
        <f t="shared" si="7"/>
        <v>711.29345962312198</v>
      </c>
      <c r="E86" s="195">
        <v>2017</v>
      </c>
      <c r="F86" s="437">
        <v>599916.70000000007</v>
      </c>
      <c r="G86" s="437">
        <v>4958.8509740830377</v>
      </c>
      <c r="H86" s="437">
        <f t="shared" si="6"/>
        <v>3719.1382305622783</v>
      </c>
      <c r="I86" s="437">
        <f t="shared" si="8"/>
        <v>5907.2422535805335</v>
      </c>
      <c r="J86" s="437">
        <f t="shared" si="5"/>
        <v>4430.4316901853999</v>
      </c>
      <c r="K86" s="437">
        <f t="shared" si="9"/>
        <v>1476.8105633951336</v>
      </c>
    </row>
    <row r="87" spans="1:11">
      <c r="A87" s="195">
        <v>2018</v>
      </c>
      <c r="B87" s="437">
        <v>0</v>
      </c>
      <c r="C87" s="437">
        <v>911.20432552535328</v>
      </c>
      <c r="D87" s="437">
        <f t="shared" si="7"/>
        <v>683.40324414401493</v>
      </c>
      <c r="E87" s="195">
        <v>2018</v>
      </c>
      <c r="F87" s="437">
        <v>606836.5</v>
      </c>
      <c r="G87" s="437">
        <v>5052.352620569005</v>
      </c>
      <c r="H87" s="437">
        <f t="shared" si="6"/>
        <v>3789.2644654267538</v>
      </c>
      <c r="I87" s="437">
        <f t="shared" si="8"/>
        <v>5963.556946094358</v>
      </c>
      <c r="J87" s="437">
        <f t="shared" si="5"/>
        <v>4472.6677095707691</v>
      </c>
      <c r="K87" s="437">
        <f t="shared" si="9"/>
        <v>1490.8892365235888</v>
      </c>
    </row>
    <row r="88" spans="1:11">
      <c r="A88" s="195">
        <v>2019</v>
      </c>
      <c r="B88" s="437">
        <v>0</v>
      </c>
      <c r="C88" s="437">
        <v>875.47549287467518</v>
      </c>
      <c r="D88" s="437">
        <f t="shared" si="7"/>
        <v>656.60661965600639</v>
      </c>
      <c r="E88" s="195">
        <v>2019</v>
      </c>
      <c r="F88" s="437">
        <v>529694.4</v>
      </c>
      <c r="G88" s="437">
        <v>5145.5092994181141</v>
      </c>
      <c r="H88" s="437">
        <f t="shared" si="6"/>
        <v>3859.1319745635856</v>
      </c>
      <c r="I88" s="437">
        <f t="shared" si="8"/>
        <v>6020.9847922927893</v>
      </c>
      <c r="J88" s="437">
        <f t="shared" si="5"/>
        <v>4515.7385942195924</v>
      </c>
      <c r="K88" s="437">
        <f t="shared" si="9"/>
        <v>1505.2461980731969</v>
      </c>
    </row>
    <row r="89" spans="1:11">
      <c r="A89" s="195">
        <v>2020</v>
      </c>
      <c r="B89" s="437">
        <v>0</v>
      </c>
      <c r="C89" s="437">
        <v>841.14760779066296</v>
      </c>
      <c r="D89" s="437">
        <f t="shared" si="7"/>
        <v>630.86070584299728</v>
      </c>
      <c r="E89" s="195">
        <v>2020</v>
      </c>
      <c r="F89" s="437">
        <v>528811</v>
      </c>
      <c r="G89" s="437">
        <v>5197.987493172207</v>
      </c>
      <c r="H89" s="437">
        <f t="shared" si="6"/>
        <v>3898.490619879155</v>
      </c>
      <c r="I89" s="437">
        <f t="shared" si="8"/>
        <v>6039.1351009628697</v>
      </c>
      <c r="J89" s="437">
        <f t="shared" ref="J89:J120" si="10">D89+H89</f>
        <v>4529.3513257221521</v>
      </c>
      <c r="K89" s="437">
        <f t="shared" si="9"/>
        <v>1509.7837752407177</v>
      </c>
    </row>
    <row r="90" spans="1:11">
      <c r="A90" s="195">
        <v>2021</v>
      </c>
      <c r="B90" s="437">
        <v>0</v>
      </c>
      <c r="C90" s="437">
        <v>808.16573833350947</v>
      </c>
      <c r="D90" s="437">
        <f t="shared" si="7"/>
        <v>606.12430375013207</v>
      </c>
      <c r="E90" s="195">
        <v>2021</v>
      </c>
      <c r="F90" s="437">
        <v>554412.00000000012</v>
      </c>
      <c r="G90" s="437">
        <v>5247.9839835564899</v>
      </c>
      <c r="H90" s="437">
        <f t="shared" si="6"/>
        <v>3935.9879876673676</v>
      </c>
      <c r="I90" s="437">
        <f t="shared" si="8"/>
        <v>6056.1497218899995</v>
      </c>
      <c r="J90" s="437">
        <f t="shared" si="10"/>
        <v>4542.1122914174994</v>
      </c>
      <c r="K90" s="437">
        <f t="shared" si="9"/>
        <v>1514.0374304725001</v>
      </c>
    </row>
    <row r="91" spans="1:11">
      <c r="A91" s="195">
        <v>2022</v>
      </c>
      <c r="B91" s="437">
        <v>0</v>
      </c>
      <c r="C91" s="437">
        <v>776.47710647557562</v>
      </c>
      <c r="D91" s="437">
        <f t="shared" si="7"/>
        <v>582.35782985668175</v>
      </c>
      <c r="E91" s="195">
        <v>2022</v>
      </c>
      <c r="F91" s="437">
        <v>627639</v>
      </c>
      <c r="G91" s="437">
        <v>5308.3077509236746</v>
      </c>
      <c r="H91" s="437">
        <f t="shared" si="6"/>
        <v>3981.2308131927557</v>
      </c>
      <c r="I91" s="437">
        <f t="shared" si="8"/>
        <v>6084.7848573992505</v>
      </c>
      <c r="J91" s="437">
        <f t="shared" si="10"/>
        <v>4563.5886430494375</v>
      </c>
      <c r="K91" s="437">
        <f t="shared" si="9"/>
        <v>1521.1962143498131</v>
      </c>
    </row>
    <row r="92" spans="1:11">
      <c r="A92" s="195">
        <v>2023</v>
      </c>
      <c r="B92" s="437">
        <v>0</v>
      </c>
      <c r="C92" s="437">
        <v>746.03100364528711</v>
      </c>
      <c r="D92" s="437">
        <f t="shared" si="7"/>
        <v>559.52325273396536</v>
      </c>
      <c r="E92" s="195">
        <v>2023</v>
      </c>
      <c r="F92" s="437">
        <v>627639</v>
      </c>
      <c r="G92" s="437">
        <v>5401.4128252778419</v>
      </c>
      <c r="H92" s="437">
        <f t="shared" si="6"/>
        <v>4051.0596189583812</v>
      </c>
      <c r="I92" s="437">
        <f t="shared" si="8"/>
        <v>6147.4438289231293</v>
      </c>
      <c r="J92" s="437">
        <f t="shared" si="10"/>
        <v>4610.5828716923461</v>
      </c>
      <c r="K92" s="437">
        <f t="shared" si="9"/>
        <v>1536.8609572307832</v>
      </c>
    </row>
    <row r="93" spans="1:11">
      <c r="A93" s="195">
        <v>2024</v>
      </c>
      <c r="B93" s="437">
        <v>0</v>
      </c>
      <c r="C93" s="437">
        <v>716.77870958260007</v>
      </c>
      <c r="D93" s="437">
        <f t="shared" si="7"/>
        <v>537.58403218695003</v>
      </c>
      <c r="E93" s="195">
        <v>2024</v>
      </c>
      <c r="F93" s="437">
        <v>627639</v>
      </c>
      <c r="G93" s="437">
        <v>5490.867197448817</v>
      </c>
      <c r="H93" s="437">
        <f t="shared" si="6"/>
        <v>4118.1503980866128</v>
      </c>
      <c r="I93" s="437">
        <f t="shared" si="8"/>
        <v>6207.6459070314168</v>
      </c>
      <c r="J93" s="437">
        <f t="shared" si="10"/>
        <v>4655.7344302735628</v>
      </c>
      <c r="K93" s="437">
        <f t="shared" si="9"/>
        <v>1551.911476757854</v>
      </c>
    </row>
    <row r="94" spans="1:11">
      <c r="A94" s="195">
        <v>2025</v>
      </c>
      <c r="B94" s="437">
        <v>0</v>
      </c>
      <c r="C94" s="437">
        <v>688.67341437619223</v>
      </c>
      <c r="D94" s="437">
        <f t="shared" si="7"/>
        <v>516.50506078214414</v>
      </c>
      <c r="E94" s="195">
        <v>2025</v>
      </c>
      <c r="F94" s="437">
        <v>627639</v>
      </c>
      <c r="G94" s="437">
        <v>5576.8140135166941</v>
      </c>
      <c r="H94" s="437">
        <f t="shared" si="6"/>
        <v>4182.6105101375206</v>
      </c>
      <c r="I94" s="437">
        <f t="shared" si="8"/>
        <v>6265.4874278928864</v>
      </c>
      <c r="J94" s="437">
        <f t="shared" si="10"/>
        <v>4699.1155709196646</v>
      </c>
      <c r="K94" s="437">
        <f t="shared" si="9"/>
        <v>1566.3718569732218</v>
      </c>
    </row>
    <row r="95" spans="1:11">
      <c r="A95" s="195">
        <v>2026</v>
      </c>
      <c r="B95" s="437">
        <v>0</v>
      </c>
      <c r="C95" s="437">
        <v>661.67014355761717</v>
      </c>
      <c r="D95" s="437">
        <f t="shared" si="7"/>
        <v>496.25260766821287</v>
      </c>
      <c r="E95" s="195">
        <v>2026</v>
      </c>
      <c r="F95" s="437">
        <v>627639</v>
      </c>
      <c r="G95" s="437">
        <v>5659.3908067234761</v>
      </c>
      <c r="H95" s="437">
        <f t="shared" si="6"/>
        <v>4244.5431050426068</v>
      </c>
      <c r="I95" s="437">
        <f t="shared" si="8"/>
        <v>6321.060950281093</v>
      </c>
      <c r="J95" s="437">
        <f t="shared" si="10"/>
        <v>4740.7957127108193</v>
      </c>
      <c r="K95" s="437">
        <f t="shared" si="9"/>
        <v>1580.2652375702737</v>
      </c>
    </row>
    <row r="96" spans="1:11">
      <c r="A96" s="195">
        <v>2027</v>
      </c>
      <c r="B96" s="437">
        <v>0</v>
      </c>
      <c r="C96" s="437">
        <v>635.72568613256033</v>
      </c>
      <c r="D96" s="437">
        <f t="shared" si="7"/>
        <v>476.79426459942022</v>
      </c>
      <c r="E96" s="195">
        <v>2027</v>
      </c>
      <c r="F96" s="437">
        <v>627639</v>
      </c>
      <c r="G96" s="437">
        <v>5738.7297175556168</v>
      </c>
      <c r="H96" s="437">
        <f t="shared" si="6"/>
        <v>4304.0472881667129</v>
      </c>
      <c r="I96" s="437">
        <f t="shared" si="8"/>
        <v>6374.4554036881773</v>
      </c>
      <c r="J96" s="437">
        <f t="shared" si="10"/>
        <v>4780.8415527661327</v>
      </c>
      <c r="K96" s="437">
        <f t="shared" si="9"/>
        <v>1593.6138509220445</v>
      </c>
    </row>
    <row r="97" spans="1:11" s="458" customFormat="1">
      <c r="A97" s="457">
        <v>2028</v>
      </c>
      <c r="B97" s="448">
        <v>0</v>
      </c>
      <c r="C97" s="448">
        <v>610.79852543402842</v>
      </c>
      <c r="D97" s="448">
        <f t="shared" si="7"/>
        <v>458.09889407552134</v>
      </c>
      <c r="E97" s="457">
        <v>2028</v>
      </c>
      <c r="F97" s="448">
        <v>276027.19999999402</v>
      </c>
      <c r="G97" s="448">
        <v>5814.9577051969873</v>
      </c>
      <c r="H97" s="448">
        <f t="shared" si="6"/>
        <v>4361.2182788977407</v>
      </c>
      <c r="I97" s="448">
        <f t="shared" si="8"/>
        <v>6425.7562306310156</v>
      </c>
      <c r="J97" s="448">
        <f t="shared" si="10"/>
        <v>4819.3171729732621</v>
      </c>
      <c r="K97" s="448">
        <f t="shared" si="9"/>
        <v>1606.4390576577534</v>
      </c>
    </row>
    <row r="98" spans="1:11">
      <c r="A98" s="195">
        <v>2029</v>
      </c>
      <c r="B98" s="437">
        <v>0</v>
      </c>
      <c r="C98" s="437">
        <v>586.84877268682624</v>
      </c>
      <c r="D98" s="437">
        <f t="shared" si="7"/>
        <v>440.13657951511971</v>
      </c>
      <c r="E98" s="195">
        <v>2029</v>
      </c>
      <c r="F98" s="437">
        <v>0</v>
      </c>
      <c r="G98" s="437">
        <v>5719.4342470274296</v>
      </c>
      <c r="H98" s="437">
        <f t="shared" si="6"/>
        <v>4289.5756852705726</v>
      </c>
      <c r="I98" s="437">
        <f t="shared" si="8"/>
        <v>6306.2830197142557</v>
      </c>
      <c r="J98" s="437">
        <f t="shared" si="10"/>
        <v>4729.7122647856922</v>
      </c>
      <c r="K98" s="437">
        <f t="shared" si="9"/>
        <v>1576.5707549285635</v>
      </c>
    </row>
    <row r="99" spans="1:11">
      <c r="A99" s="195">
        <v>2030</v>
      </c>
      <c r="B99" s="437">
        <v>0</v>
      </c>
      <c r="C99" s="437">
        <v>563.83810317700488</v>
      </c>
      <c r="D99" s="437">
        <f t="shared" si="7"/>
        <v>422.87857738275363</v>
      </c>
      <c r="E99" s="195">
        <v>2030</v>
      </c>
      <c r="F99" s="437">
        <v>0</v>
      </c>
      <c r="G99" s="437">
        <v>5495.172022470073</v>
      </c>
      <c r="H99" s="437">
        <f t="shared" si="6"/>
        <v>4121.3790168525547</v>
      </c>
      <c r="I99" s="437">
        <f t="shared" si="8"/>
        <v>6059.010125647078</v>
      </c>
      <c r="J99" s="437">
        <f t="shared" si="10"/>
        <v>4544.2575942353087</v>
      </c>
      <c r="K99" s="437">
        <f t="shared" si="9"/>
        <v>1514.7525314117693</v>
      </c>
    </row>
    <row r="100" spans="1:11">
      <c r="A100" s="195">
        <v>2031</v>
      </c>
      <c r="B100" s="437">
        <v>0</v>
      </c>
      <c r="C100" s="437">
        <v>541.72969492414438</v>
      </c>
      <c r="D100" s="437">
        <f t="shared" si="7"/>
        <v>406.29727119310826</v>
      </c>
      <c r="E100" s="195">
        <v>2031</v>
      </c>
      <c r="F100" s="437">
        <v>0</v>
      </c>
      <c r="G100" s="437">
        <v>5279.7032455145609</v>
      </c>
      <c r="H100" s="437">
        <f t="shared" si="6"/>
        <v>3959.7774341359209</v>
      </c>
      <c r="I100" s="437">
        <f t="shared" si="8"/>
        <v>5821.4329404387054</v>
      </c>
      <c r="J100" s="437">
        <f t="shared" si="10"/>
        <v>4366.0747053290288</v>
      </c>
      <c r="K100" s="437">
        <f t="shared" si="9"/>
        <v>1455.3582351096766</v>
      </c>
    </row>
    <row r="101" spans="1:11">
      <c r="A101" s="195">
        <v>2032</v>
      </c>
      <c r="B101" s="437">
        <v>0</v>
      </c>
      <c r="C101" s="437">
        <v>520.4881697583279</v>
      </c>
      <c r="D101" s="437">
        <f t="shared" si="7"/>
        <v>390.36612731874595</v>
      </c>
      <c r="E101" s="195">
        <v>2032</v>
      </c>
      <c r="F101" s="437">
        <v>0</v>
      </c>
      <c r="G101" s="437">
        <v>5072.6831201486348</v>
      </c>
      <c r="H101" s="437">
        <f t="shared" si="6"/>
        <v>3804.5123401114761</v>
      </c>
      <c r="I101" s="437">
        <f t="shared" si="8"/>
        <v>5593.1712899069626</v>
      </c>
      <c r="J101" s="437">
        <f t="shared" si="10"/>
        <v>4194.8784674302224</v>
      </c>
      <c r="K101" s="437">
        <f t="shared" si="9"/>
        <v>1398.2928224767402</v>
      </c>
    </row>
    <row r="102" spans="1:11">
      <c r="A102" s="195">
        <v>2033</v>
      </c>
      <c r="B102" s="437">
        <v>0</v>
      </c>
      <c r="C102" s="437">
        <v>500.079536707523</v>
      </c>
      <c r="D102" s="437">
        <f t="shared" si="7"/>
        <v>375.05965253064227</v>
      </c>
      <c r="E102" s="195">
        <v>2033</v>
      </c>
      <c r="F102" s="437">
        <v>0</v>
      </c>
      <c r="G102" s="437">
        <v>4873.7803700050645</v>
      </c>
      <c r="H102" s="437">
        <f t="shared" si="6"/>
        <v>3655.3352775037984</v>
      </c>
      <c r="I102" s="437">
        <f t="shared" si="8"/>
        <v>5373.8599067125879</v>
      </c>
      <c r="J102" s="437">
        <f t="shared" si="10"/>
        <v>4030.3949300344407</v>
      </c>
      <c r="K102" s="437">
        <f t="shared" si="9"/>
        <v>1343.4649766781472</v>
      </c>
    </row>
    <row r="103" spans="1:11">
      <c r="A103" s="195">
        <v>2034</v>
      </c>
      <c r="B103" s="437">
        <v>0</v>
      </c>
      <c r="C103" s="437">
        <v>480.47113760477464</v>
      </c>
      <c r="D103" s="437">
        <f t="shared" si="7"/>
        <v>360.35335320358098</v>
      </c>
      <c r="E103" s="195">
        <v>2034</v>
      </c>
      <c r="F103" s="437">
        <v>0</v>
      </c>
      <c r="G103" s="437">
        <v>4682.6767082487668</v>
      </c>
      <c r="H103" s="437">
        <f t="shared" si="6"/>
        <v>3512.0075311865749</v>
      </c>
      <c r="I103" s="437">
        <f t="shared" si="8"/>
        <v>5163.1478458535412</v>
      </c>
      <c r="J103" s="437">
        <f t="shared" si="10"/>
        <v>3872.3608843901557</v>
      </c>
      <c r="K103" s="437">
        <f t="shared" si="9"/>
        <v>1290.7869614633855</v>
      </c>
    </row>
    <row r="104" spans="1:11">
      <c r="A104" s="195">
        <v>2035</v>
      </c>
      <c r="B104" s="437">
        <v>0</v>
      </c>
      <c r="C104" s="437">
        <v>461.63159482817019</v>
      </c>
      <c r="D104" s="437">
        <f t="shared" si="7"/>
        <v>346.22369612112766</v>
      </c>
      <c r="E104" s="195">
        <v>2035</v>
      </c>
      <c r="F104" s="437">
        <v>0</v>
      </c>
      <c r="G104" s="437">
        <v>4499.06632824998</v>
      </c>
      <c r="H104" s="437">
        <f t="shared" si="6"/>
        <v>3374.2997461874847</v>
      </c>
      <c r="I104" s="437">
        <f t="shared" si="8"/>
        <v>4960.6979230781499</v>
      </c>
      <c r="J104" s="437">
        <f t="shared" si="10"/>
        <v>3720.5234423086122</v>
      </c>
      <c r="K104" s="437">
        <f t="shared" si="9"/>
        <v>1240.1744807695377</v>
      </c>
    </row>
    <row r="105" spans="1:11">
      <c r="A105" s="195">
        <v>2036</v>
      </c>
      <c r="B105" s="437">
        <v>0</v>
      </c>
      <c r="C105" s="437">
        <v>443.53076108995015</v>
      </c>
      <c r="D105" s="437">
        <f t="shared" si="7"/>
        <v>332.64807081746261</v>
      </c>
      <c r="E105" s="195">
        <v>2036</v>
      </c>
      <c r="F105" s="437">
        <v>0</v>
      </c>
      <c r="G105" s="437">
        <v>4322.6554142284003</v>
      </c>
      <c r="H105" s="437">
        <f t="shared" si="6"/>
        <v>3241.9915606713002</v>
      </c>
      <c r="I105" s="437">
        <f t="shared" si="8"/>
        <v>4766.1861753183503</v>
      </c>
      <c r="J105" s="437">
        <f t="shared" si="10"/>
        <v>3574.6396314887629</v>
      </c>
      <c r="K105" s="437">
        <f t="shared" si="9"/>
        <v>1191.5465438295873</v>
      </c>
    </row>
    <row r="106" spans="1:11">
      <c r="A106" s="195">
        <v>2037</v>
      </c>
      <c r="B106" s="437">
        <v>0</v>
      </c>
      <c r="C106" s="437">
        <v>426.13967119441628</v>
      </c>
      <c r="D106" s="437">
        <f t="shared" si="7"/>
        <v>319.60475339581222</v>
      </c>
      <c r="E106" s="195">
        <v>2037</v>
      </c>
      <c r="F106" s="437">
        <v>0</v>
      </c>
      <c r="G106" s="437">
        <v>4153.1616710852568</v>
      </c>
      <c r="H106" s="437">
        <f t="shared" si="6"/>
        <v>3114.8712533139424</v>
      </c>
      <c r="I106" s="437">
        <f t="shared" si="8"/>
        <v>4579.301342279673</v>
      </c>
      <c r="J106" s="437">
        <f t="shared" si="10"/>
        <v>3434.4760067097545</v>
      </c>
      <c r="K106" s="437">
        <f t="shared" si="9"/>
        <v>1144.8253355699185</v>
      </c>
    </row>
    <row r="107" spans="1:11">
      <c r="A107" s="195">
        <v>2038</v>
      </c>
      <c r="B107" s="437">
        <v>0</v>
      </c>
      <c r="C107" s="437">
        <v>409.43049568743857</v>
      </c>
      <c r="D107" s="437">
        <f t="shared" si="7"/>
        <v>307.07287176557895</v>
      </c>
      <c r="E107" s="195">
        <v>2038</v>
      </c>
      <c r="F107" s="437">
        <v>0</v>
      </c>
      <c r="G107" s="437">
        <v>3990.3138726709299</v>
      </c>
      <c r="H107" s="437">
        <f t="shared" si="6"/>
        <v>2992.7354045031975</v>
      </c>
      <c r="I107" s="437">
        <f t="shared" si="8"/>
        <v>4399.7443683583688</v>
      </c>
      <c r="J107" s="437">
        <f t="shared" si="10"/>
        <v>3299.8082762687764</v>
      </c>
      <c r="K107" s="437">
        <f t="shared" si="9"/>
        <v>1099.9360920895924</v>
      </c>
    </row>
    <row r="108" spans="1:11">
      <c r="A108" s="195">
        <v>2039</v>
      </c>
      <c r="B108" s="437">
        <v>0</v>
      </c>
      <c r="C108" s="437">
        <v>393.37649632339185</v>
      </c>
      <c r="D108" s="437">
        <f t="shared" si="7"/>
        <v>295.03237224254389</v>
      </c>
      <c r="E108" s="195">
        <v>2039</v>
      </c>
      <c r="F108" s="437">
        <v>0</v>
      </c>
      <c r="G108" s="437">
        <v>3833.851427765238</v>
      </c>
      <c r="H108" s="437">
        <f t="shared" si="6"/>
        <v>2875.3885708239286</v>
      </c>
      <c r="I108" s="437">
        <f t="shared" si="8"/>
        <v>4227.2279240886301</v>
      </c>
      <c r="J108" s="437">
        <f t="shared" si="10"/>
        <v>3170.4209430664723</v>
      </c>
      <c r="K108" s="437">
        <f t="shared" si="9"/>
        <v>1056.8069810221577</v>
      </c>
    </row>
    <row r="109" spans="1:11">
      <c r="A109" s="195">
        <v>2040</v>
      </c>
      <c r="B109" s="437">
        <v>0</v>
      </c>
      <c r="C109" s="437">
        <v>377.9519832782575</v>
      </c>
      <c r="D109" s="437">
        <f t="shared" si="7"/>
        <v>283.46398745869311</v>
      </c>
      <c r="E109" s="195">
        <v>2040</v>
      </c>
      <c r="F109" s="437">
        <v>0</v>
      </c>
      <c r="G109" s="437">
        <v>3683.5239630758956</v>
      </c>
      <c r="H109" s="437">
        <f t="shared" si="6"/>
        <v>2762.6429723069218</v>
      </c>
      <c r="I109" s="437">
        <f t="shared" si="8"/>
        <v>4061.4759463541532</v>
      </c>
      <c r="J109" s="437">
        <f t="shared" si="10"/>
        <v>3046.1069597656151</v>
      </c>
      <c r="K109" s="437">
        <f t="shared" si="9"/>
        <v>1015.3689865885381</v>
      </c>
    </row>
    <row r="110" spans="1:11">
      <c r="A110" s="195">
        <v>2041</v>
      </c>
      <c r="B110" s="437">
        <v>0</v>
      </c>
      <c r="C110" s="437">
        <v>363.13227404042527</v>
      </c>
      <c r="D110" s="437">
        <f t="shared" si="7"/>
        <v>272.34920553031895</v>
      </c>
      <c r="E110" s="195">
        <v>2041</v>
      </c>
      <c r="F110" s="437">
        <v>0</v>
      </c>
      <c r="G110" s="437">
        <v>3539.0909225878336</v>
      </c>
      <c r="H110" s="437">
        <f t="shared" si="6"/>
        <v>2654.3181919408753</v>
      </c>
      <c r="I110" s="437">
        <f t="shared" si="8"/>
        <v>3902.2231966282588</v>
      </c>
      <c r="J110" s="437">
        <f t="shared" si="10"/>
        <v>2926.6673974711944</v>
      </c>
      <c r="K110" s="437">
        <f t="shared" si="9"/>
        <v>975.55579915706448</v>
      </c>
    </row>
    <row r="111" spans="1:11">
      <c r="A111" s="195">
        <v>2042</v>
      </c>
      <c r="B111" s="437">
        <v>0</v>
      </c>
      <c r="C111" s="437">
        <v>348.89365391340795</v>
      </c>
      <c r="D111" s="437">
        <f t="shared" si="7"/>
        <v>261.67024043505597</v>
      </c>
      <c r="E111" s="195">
        <v>2042</v>
      </c>
      <c r="F111" s="437">
        <v>0</v>
      </c>
      <c r="G111" s="437">
        <v>3400.3211826222428</v>
      </c>
      <c r="H111" s="437">
        <f t="shared" si="6"/>
        <v>2550.240886966682</v>
      </c>
      <c r="I111" s="437">
        <f t="shared" si="8"/>
        <v>3749.2148365356506</v>
      </c>
      <c r="J111" s="437">
        <f t="shared" si="10"/>
        <v>2811.9111274017378</v>
      </c>
      <c r="K111" s="437">
        <f t="shared" si="9"/>
        <v>937.30370913391289</v>
      </c>
    </row>
    <row r="112" spans="1:11">
      <c r="A112" s="195">
        <v>2043</v>
      </c>
      <c r="B112" s="437">
        <v>0</v>
      </c>
      <c r="C112" s="437">
        <v>335.21333806726801</v>
      </c>
      <c r="D112" s="437">
        <f t="shared" si="7"/>
        <v>251.41000355045099</v>
      </c>
      <c r="E112" s="195">
        <v>2043</v>
      </c>
      <c r="F112" s="437">
        <v>0</v>
      </c>
      <c r="G112" s="437">
        <v>3266.9926819893894</v>
      </c>
      <c r="H112" s="437">
        <f t="shared" si="6"/>
        <v>2450.244511492042</v>
      </c>
      <c r="I112" s="437">
        <f t="shared" si="8"/>
        <v>3602.2060200566575</v>
      </c>
      <c r="J112" s="437">
        <f t="shared" si="10"/>
        <v>2701.6545150424931</v>
      </c>
      <c r="K112" s="437">
        <f t="shared" si="9"/>
        <v>900.55150501416438</v>
      </c>
    </row>
    <row r="113" spans="1:11">
      <c r="A113" s="195">
        <v>2044</v>
      </c>
      <c r="B113" s="437">
        <v>0</v>
      </c>
      <c r="C113" s="437">
        <v>322.06943507802856</v>
      </c>
      <c r="D113" s="437">
        <f t="shared" si="7"/>
        <v>241.55207630852141</v>
      </c>
      <c r="E113" s="195">
        <v>2044</v>
      </c>
      <c r="F113" s="437">
        <v>0</v>
      </c>
      <c r="G113" s="437">
        <v>3138.8920666433296</v>
      </c>
      <c r="H113" s="437">
        <f t="shared" si="6"/>
        <v>2354.1690499824972</v>
      </c>
      <c r="I113" s="437">
        <f t="shared" si="8"/>
        <v>3460.9615017213582</v>
      </c>
      <c r="J113" s="437">
        <f t="shared" si="10"/>
        <v>2595.7211262910187</v>
      </c>
      <c r="K113" s="437">
        <f t="shared" si="9"/>
        <v>865.24037543033955</v>
      </c>
    </row>
    <row r="114" spans="1:11">
      <c r="A114" s="195">
        <v>2045</v>
      </c>
      <c r="B114" s="437">
        <v>0</v>
      </c>
      <c r="C114" s="437">
        <v>309.44091189672451</v>
      </c>
      <c r="D114" s="437">
        <f t="shared" si="7"/>
        <v>232.08068392254339</v>
      </c>
      <c r="E114" s="195">
        <v>2045</v>
      </c>
      <c r="F114" s="437">
        <v>0</v>
      </c>
      <c r="G114" s="437">
        <v>3015.8143482699215</v>
      </c>
      <c r="H114" s="437">
        <f t="shared" si="6"/>
        <v>2261.8607612024412</v>
      </c>
      <c r="I114" s="437">
        <f t="shared" si="8"/>
        <v>3325.2552601666462</v>
      </c>
      <c r="J114" s="437">
        <f t="shared" si="10"/>
        <v>2493.9414451249845</v>
      </c>
      <c r="K114" s="437">
        <f t="shared" si="9"/>
        <v>831.31381504166166</v>
      </c>
    </row>
    <row r="115" spans="1:11">
      <c r="A115" s="195">
        <v>2046</v>
      </c>
      <c r="B115" s="437">
        <v>0</v>
      </c>
      <c r="C115" s="437">
        <v>297.3075601920375</v>
      </c>
      <c r="D115" s="437">
        <f t="shared" si="7"/>
        <v>222.98067014402812</v>
      </c>
      <c r="E115" s="195">
        <v>2046</v>
      </c>
      <c r="F115" s="437">
        <v>0</v>
      </c>
      <c r="G115" s="437">
        <v>2897.5625762617865</v>
      </c>
      <c r="H115" s="437">
        <f t="shared" si="6"/>
        <v>2173.1719321963401</v>
      </c>
      <c r="I115" s="437">
        <f t="shared" si="8"/>
        <v>3194.8701364538238</v>
      </c>
      <c r="J115" s="437">
        <f t="shared" si="10"/>
        <v>2396.152602340368</v>
      </c>
      <c r="K115" s="437">
        <f t="shared" si="9"/>
        <v>798.71753411345571</v>
      </c>
    </row>
    <row r="116" spans="1:11">
      <c r="A116" s="195">
        <v>2047</v>
      </c>
      <c r="B116" s="437">
        <v>0</v>
      </c>
      <c r="C116" s="437">
        <v>285.64996401265324</v>
      </c>
      <c r="D116" s="437">
        <f t="shared" si="7"/>
        <v>214.23747300948992</v>
      </c>
      <c r="E116" s="195">
        <v>2047</v>
      </c>
      <c r="F116" s="437">
        <v>0</v>
      </c>
      <c r="G116" s="437">
        <v>2783.9475225553224</v>
      </c>
      <c r="H116" s="437">
        <f t="shared" si="6"/>
        <v>2087.960641916492</v>
      </c>
      <c r="I116" s="437">
        <f t="shared" si="8"/>
        <v>3069.5974865679755</v>
      </c>
      <c r="J116" s="437">
        <f t="shared" si="10"/>
        <v>2302.1981149259818</v>
      </c>
      <c r="K116" s="437">
        <f t="shared" si="9"/>
        <v>767.39937164199364</v>
      </c>
    </row>
    <row r="117" spans="1:11" s="197" customFormat="1">
      <c r="A117" s="447">
        <v>2048</v>
      </c>
      <c r="B117" s="446">
        <v>0</v>
      </c>
      <c r="C117" s="446">
        <v>274.44946871759845</v>
      </c>
      <c r="D117" s="446">
        <f t="shared" si="7"/>
        <v>205.83710153819885</v>
      </c>
      <c r="E117" s="447">
        <v>2048</v>
      </c>
      <c r="F117" s="437">
        <v>0</v>
      </c>
      <c r="G117" s="446">
        <v>2674.7873788254278</v>
      </c>
      <c r="H117" s="446">
        <f t="shared" si="6"/>
        <v>2006.090534119071</v>
      </c>
      <c r="I117" s="446">
        <f t="shared" si="8"/>
        <v>2949.2368475430262</v>
      </c>
      <c r="J117" s="446">
        <f t="shared" si="10"/>
        <v>2211.92763565727</v>
      </c>
      <c r="K117" s="446">
        <f t="shared" si="9"/>
        <v>737.30921188575621</v>
      </c>
    </row>
    <row r="118" spans="1:11">
      <c r="A118" s="195">
        <v>2049</v>
      </c>
      <c r="B118" s="437">
        <v>0</v>
      </c>
      <c r="C118" s="437">
        <v>263.68815112483446</v>
      </c>
      <c r="D118" s="437">
        <f t="shared" si="7"/>
        <v>197.76611334362585</v>
      </c>
      <c r="E118" s="195">
        <v>2049</v>
      </c>
      <c r="F118" s="437">
        <v>0</v>
      </c>
      <c r="G118" s="437">
        <v>2569.9074655533964</v>
      </c>
      <c r="H118" s="437">
        <f t="shared" si="6"/>
        <v>1927.4305991650472</v>
      </c>
      <c r="I118" s="437">
        <f t="shared" si="8"/>
        <v>2833.5956166782307</v>
      </c>
      <c r="J118" s="437">
        <f t="shared" si="10"/>
        <v>2125.196712508673</v>
      </c>
      <c r="K118" s="437">
        <f t="shared" si="9"/>
        <v>708.39890416955768</v>
      </c>
    </row>
    <row r="119" spans="1:11">
      <c r="A119" s="195">
        <v>2050</v>
      </c>
      <c r="B119" s="437">
        <v>0</v>
      </c>
      <c r="C119" s="437">
        <v>253.34879083034272</v>
      </c>
      <c r="D119" s="437">
        <f t="shared" si="7"/>
        <v>190.01159312275703</v>
      </c>
      <c r="E119" s="195">
        <v>2050</v>
      </c>
      <c r="F119" s="437">
        <v>0</v>
      </c>
      <c r="G119" s="437">
        <v>2469.1399525024153</v>
      </c>
      <c r="H119" s="437">
        <f t="shared" si="6"/>
        <v>1851.8549643768115</v>
      </c>
      <c r="I119" s="437">
        <f t="shared" si="8"/>
        <v>2722.4887433327581</v>
      </c>
      <c r="J119" s="437">
        <f t="shared" si="10"/>
        <v>2041.8665574995684</v>
      </c>
      <c r="K119" s="437">
        <f t="shared" si="9"/>
        <v>680.62218583318963</v>
      </c>
    </row>
    <row r="120" spans="1:11">
      <c r="A120" s="195">
        <v>2051</v>
      </c>
      <c r="B120" s="437">
        <v>0</v>
      </c>
      <c r="C120" s="437">
        <v>243.41484265180429</v>
      </c>
      <c r="D120" s="437">
        <f t="shared" si="7"/>
        <v>182.56113198885322</v>
      </c>
      <c r="E120" s="195">
        <v>2051</v>
      </c>
      <c r="F120" s="437">
        <v>0</v>
      </c>
      <c r="G120" s="437">
        <v>2372.3235901533903</v>
      </c>
      <c r="H120" s="437">
        <f t="shared" si="6"/>
        <v>1779.2426926150429</v>
      </c>
      <c r="I120" s="437">
        <f t="shared" si="8"/>
        <v>2615.7384328051949</v>
      </c>
      <c r="J120" s="437">
        <f t="shared" si="10"/>
        <v>1961.8038246038961</v>
      </c>
      <c r="K120" s="437">
        <f t="shared" si="9"/>
        <v>653.93460820129872</v>
      </c>
    </row>
    <row r="121" spans="1:11">
      <c r="A121" s="195">
        <v>2052</v>
      </c>
      <c r="B121" s="437">
        <v>0</v>
      </c>
      <c r="C121" s="437">
        <v>233.87041015277808</v>
      </c>
      <c r="D121" s="437">
        <f t="shared" si="7"/>
        <v>175.40280761458357</v>
      </c>
      <c r="E121" s="195">
        <v>2052</v>
      </c>
      <c r="F121" s="437">
        <v>0</v>
      </c>
      <c r="G121" s="437">
        <v>2279.3034516713014</v>
      </c>
      <c r="H121" s="437">
        <f t="shared" si="6"/>
        <v>1709.4775887534761</v>
      </c>
      <c r="I121" s="437">
        <f t="shared" si="8"/>
        <v>2513.1738618240797</v>
      </c>
      <c r="J121" s="437">
        <f t="shared" ref="J121:J152" si="11">D121+H121</f>
        <v>1884.8803963680596</v>
      </c>
      <c r="K121" s="437">
        <f t="shared" si="9"/>
        <v>628.29346545602016</v>
      </c>
    </row>
    <row r="122" spans="1:11">
      <c r="A122" s="195">
        <v>2053</v>
      </c>
      <c r="B122" s="437">
        <v>0</v>
      </c>
      <c r="C122" s="437">
        <v>224.70022020501139</v>
      </c>
      <c r="D122" s="437">
        <f t="shared" si="7"/>
        <v>168.52516515375854</v>
      </c>
      <c r="E122" s="195">
        <v>2053</v>
      </c>
      <c r="F122" s="437">
        <v>0</v>
      </c>
      <c r="G122" s="437">
        <v>2189.9306849892237</v>
      </c>
      <c r="H122" s="437">
        <f t="shared" ref="H122:H185" si="12">G122*0.75</f>
        <v>1642.4480137419177</v>
      </c>
      <c r="I122" s="437">
        <f t="shared" si="8"/>
        <v>2414.6309051942349</v>
      </c>
      <c r="J122" s="437">
        <f t="shared" si="11"/>
        <v>1810.9731788956763</v>
      </c>
      <c r="K122" s="437">
        <f t="shared" si="9"/>
        <v>603.6577262985586</v>
      </c>
    </row>
    <row r="123" spans="1:11">
      <c r="A123" s="195">
        <v>2054</v>
      </c>
      <c r="B123" s="437">
        <v>0</v>
      </c>
      <c r="C123" s="437">
        <v>215.88959854817642</v>
      </c>
      <c r="D123" s="437">
        <f t="shared" si="7"/>
        <v>161.91719891113232</v>
      </c>
      <c r="E123" s="195">
        <v>2054</v>
      </c>
      <c r="F123" s="437">
        <v>0</v>
      </c>
      <c r="G123" s="437">
        <v>2104.0622746132594</v>
      </c>
      <c r="H123" s="437">
        <f t="shared" si="12"/>
        <v>1578.0467059599446</v>
      </c>
      <c r="I123" s="437">
        <f t="shared" si="8"/>
        <v>2319.9518731614357</v>
      </c>
      <c r="J123" s="437">
        <f t="shared" si="11"/>
        <v>1739.9639048710769</v>
      </c>
      <c r="K123" s="437">
        <f t="shared" si="9"/>
        <v>579.98796829035882</v>
      </c>
    </row>
    <row r="124" spans="1:11">
      <c r="A124" s="195">
        <v>2055</v>
      </c>
      <c r="B124" s="437">
        <v>0</v>
      </c>
      <c r="C124" s="437">
        <v>207.42444630792266</v>
      </c>
      <c r="D124" s="437">
        <f t="shared" si="7"/>
        <v>155.56833473094201</v>
      </c>
      <c r="E124" s="195">
        <v>2055</v>
      </c>
      <c r="F124" s="437">
        <v>0</v>
      </c>
      <c r="G124" s="437">
        <v>2021.5608127672349</v>
      </c>
      <c r="H124" s="437">
        <f t="shared" si="12"/>
        <v>1516.1706095754262</v>
      </c>
      <c r="I124" s="437">
        <f t="shared" si="8"/>
        <v>2228.9852590751575</v>
      </c>
      <c r="J124" s="437">
        <f t="shared" si="11"/>
        <v>1671.7389443063682</v>
      </c>
      <c r="K124" s="437">
        <f t="shared" si="9"/>
        <v>557.24631476878926</v>
      </c>
    </row>
    <row r="125" spans="1:11">
      <c r="A125" s="195">
        <v>2056</v>
      </c>
      <c r="B125" s="437">
        <v>0</v>
      </c>
      <c r="C125" s="437">
        <v>199.29121743467019</v>
      </c>
      <c r="D125" s="437">
        <f t="shared" si="7"/>
        <v>149.46841307600263</v>
      </c>
      <c r="E125" s="195">
        <v>2056</v>
      </c>
      <c r="F125" s="437">
        <v>0</v>
      </c>
      <c r="G125" s="437">
        <v>1942.2942795109461</v>
      </c>
      <c r="H125" s="437">
        <f t="shared" si="12"/>
        <v>1456.7207096332095</v>
      </c>
      <c r="I125" s="437">
        <f t="shared" si="8"/>
        <v>2141.5854969456163</v>
      </c>
      <c r="J125" s="437">
        <f t="shared" si="11"/>
        <v>1606.1891227092121</v>
      </c>
      <c r="K125" s="437">
        <f t="shared" si="9"/>
        <v>535.3963742364042</v>
      </c>
    </row>
    <row r="126" spans="1:11">
      <c r="A126" s="195">
        <v>2057</v>
      </c>
      <c r="B126" s="437">
        <v>0</v>
      </c>
      <c r="C126" s="437">
        <v>191.47689702704045</v>
      </c>
      <c r="D126" s="437">
        <f t="shared" si="7"/>
        <v>143.60767277028035</v>
      </c>
      <c r="E126" s="195">
        <v>2057</v>
      </c>
      <c r="F126" s="437">
        <v>0</v>
      </c>
      <c r="G126" s="437">
        <v>1866.1358314800884</v>
      </c>
      <c r="H126" s="437">
        <f t="shared" si="12"/>
        <v>1399.6018736100664</v>
      </c>
      <c r="I126" s="437">
        <f t="shared" si="8"/>
        <v>2057.6127285071288</v>
      </c>
      <c r="J126" s="437">
        <f t="shared" si="11"/>
        <v>1543.2095463803466</v>
      </c>
      <c r="K126" s="437">
        <f t="shared" si="9"/>
        <v>514.40318212678221</v>
      </c>
    </row>
    <row r="127" spans="1:11">
      <c r="A127" s="195">
        <v>2058</v>
      </c>
      <c r="B127" s="437">
        <v>0</v>
      </c>
      <c r="C127" s="437">
        <v>183.96898050523734</v>
      </c>
      <c r="D127" s="437">
        <f t="shared" si="7"/>
        <v>137.976735378928</v>
      </c>
      <c r="E127" s="195">
        <v>2058</v>
      </c>
      <c r="F127" s="437">
        <v>0</v>
      </c>
      <c r="G127" s="437">
        <v>1792.9635989098081</v>
      </c>
      <c r="H127" s="437">
        <f t="shared" si="12"/>
        <v>1344.7226991823561</v>
      </c>
      <c r="I127" s="437">
        <f t="shared" si="8"/>
        <v>1976.9325794150454</v>
      </c>
      <c r="J127" s="437">
        <f t="shared" si="11"/>
        <v>1482.6994345612841</v>
      </c>
      <c r="K127" s="437">
        <f t="shared" si="9"/>
        <v>494.23314485376136</v>
      </c>
    </row>
    <row r="128" spans="1:11">
      <c r="A128" s="195">
        <v>2059</v>
      </c>
      <c r="B128" s="437">
        <v>0</v>
      </c>
      <c r="C128" s="437">
        <v>176.75545360105164</v>
      </c>
      <c r="D128" s="437">
        <f t="shared" si="7"/>
        <v>132.56659020078874</v>
      </c>
      <c r="E128" s="195">
        <v>2059</v>
      </c>
      <c r="F128" s="437">
        <v>0</v>
      </c>
      <c r="G128" s="437">
        <v>1722.6604906170855</v>
      </c>
      <c r="H128" s="437">
        <f t="shared" si="12"/>
        <v>1291.9953679628143</v>
      </c>
      <c r="I128" s="437">
        <f t="shared" si="8"/>
        <v>1899.4159442181372</v>
      </c>
      <c r="J128" s="437">
        <f t="shared" si="11"/>
        <v>1424.5619581636031</v>
      </c>
      <c r="K128" s="437">
        <f t="shared" si="9"/>
        <v>474.85398605453406</v>
      </c>
    </row>
    <row r="129" spans="1:11">
      <c r="A129" s="195">
        <v>2060</v>
      </c>
      <c r="B129" s="437">
        <v>0</v>
      </c>
      <c r="C129" s="437">
        <v>169.82477313246886</v>
      </c>
      <c r="D129" s="437">
        <f t="shared" si="7"/>
        <v>127.36857984935165</v>
      </c>
      <c r="E129" s="195">
        <v>2060</v>
      </c>
      <c r="F129" s="437">
        <v>0</v>
      </c>
      <c r="G129" s="437">
        <v>1655.1140066298558</v>
      </c>
      <c r="H129" s="437">
        <f t="shared" si="12"/>
        <v>1241.3355049723918</v>
      </c>
      <c r="I129" s="437">
        <f t="shared" si="8"/>
        <v>1824.9387797623247</v>
      </c>
      <c r="J129" s="459">
        <f t="shared" si="11"/>
        <v>1368.7040848217434</v>
      </c>
      <c r="K129" s="459">
        <f t="shared" si="9"/>
        <v>456.23469494058122</v>
      </c>
    </row>
    <row r="130" spans="1:11">
      <c r="A130" s="195">
        <v>2061</v>
      </c>
      <c r="B130" s="437">
        <v>0</v>
      </c>
      <c r="C130" s="437">
        <v>163.16584853211532</v>
      </c>
      <c r="D130" s="437">
        <f t="shared" si="7"/>
        <v>122.37438639908649</v>
      </c>
      <c r="E130" s="195">
        <v>2061</v>
      </c>
      <c r="F130" s="437">
        <v>0</v>
      </c>
      <c r="G130" s="437">
        <v>1590.2160581630535</v>
      </c>
      <c r="H130" s="437">
        <f t="shared" si="12"/>
        <v>1192.6620436222902</v>
      </c>
      <c r="I130" s="437">
        <f t="shared" si="8"/>
        <v>1753.3819066951687</v>
      </c>
      <c r="J130" s="437">
        <f t="shared" si="11"/>
        <v>1315.0364300213766</v>
      </c>
      <c r="K130" s="437">
        <f t="shared" si="9"/>
        <v>438.34547667379206</v>
      </c>
    </row>
    <row r="131" spans="1:11">
      <c r="A131" s="195">
        <v>2062</v>
      </c>
      <c r="B131" s="437">
        <v>0</v>
      </c>
      <c r="C131" s="437">
        <v>156.76802409998402</v>
      </c>
      <c r="D131" s="437">
        <f t="shared" si="7"/>
        <v>117.57601807498801</v>
      </c>
      <c r="E131" s="195">
        <v>2062</v>
      </c>
      <c r="F131" s="437">
        <v>0</v>
      </c>
      <c r="G131" s="437">
        <v>1527.8627946534984</v>
      </c>
      <c r="H131" s="437">
        <f t="shared" si="12"/>
        <v>1145.8970959901239</v>
      </c>
      <c r="I131" s="437">
        <f t="shared" si="8"/>
        <v>1684.6308187534823</v>
      </c>
      <c r="J131" s="437">
        <f t="shared" si="11"/>
        <v>1263.473114065112</v>
      </c>
      <c r="K131" s="437">
        <f t="shared" si="9"/>
        <v>421.15770468837036</v>
      </c>
    </row>
    <row r="132" spans="1:11">
      <c r="A132" s="195">
        <v>2063</v>
      </c>
      <c r="B132" s="437">
        <v>0</v>
      </c>
      <c r="C132" s="437">
        <v>150.62106195204149</v>
      </c>
      <c r="D132" s="437">
        <f t="shared" si="7"/>
        <v>112.96579646403111</v>
      </c>
      <c r="E132" s="195">
        <v>2063</v>
      </c>
      <c r="F132" s="437">
        <v>0</v>
      </c>
      <c r="G132" s="437">
        <v>1467.9544375768357</v>
      </c>
      <c r="H132" s="437">
        <f t="shared" si="12"/>
        <v>1100.9658281826269</v>
      </c>
      <c r="I132" s="437">
        <f t="shared" si="8"/>
        <v>1618.5754995288771</v>
      </c>
      <c r="J132" s="437">
        <f t="shared" si="11"/>
        <v>1213.9316246466581</v>
      </c>
      <c r="K132" s="437">
        <f t="shared" si="9"/>
        <v>404.64387488221905</v>
      </c>
    </row>
    <row r="133" spans="1:11">
      <c r="A133" s="195">
        <v>2064</v>
      </c>
      <c r="B133" s="437">
        <v>0</v>
      </c>
      <c r="C133" s="437">
        <v>144.71512563742928</v>
      </c>
      <c r="D133" s="437">
        <f t="shared" ref="D133:D144" si="13">C133*0.75</f>
        <v>108.53634422807195</v>
      </c>
      <c r="E133" s="195">
        <v>2064</v>
      </c>
      <c r="F133" s="437">
        <v>0</v>
      </c>
      <c r="G133" s="437">
        <v>1410.3951207806119</v>
      </c>
      <c r="H133" s="437">
        <f t="shared" si="12"/>
        <v>1057.7963405854589</v>
      </c>
      <c r="I133" s="437">
        <f t="shared" ref="I133:I196" si="14">C133+G133</f>
        <v>1555.1102464180412</v>
      </c>
      <c r="J133" s="437">
        <f t="shared" si="11"/>
        <v>1166.3326848135309</v>
      </c>
      <c r="K133" s="437">
        <f t="shared" ref="K133:K196" si="15">I133-J133</f>
        <v>388.77756160451031</v>
      </c>
    </row>
    <row r="134" spans="1:11">
      <c r="A134" s="195">
        <v>2065</v>
      </c>
      <c r="B134" s="437">
        <v>0</v>
      </c>
      <c r="C134" s="437">
        <v>139.04076439804368</v>
      </c>
      <c r="D134" s="437">
        <f t="shared" si="13"/>
        <v>104.28057329853276</v>
      </c>
      <c r="E134" s="195">
        <v>2065</v>
      </c>
      <c r="F134" s="437">
        <v>0</v>
      </c>
      <c r="G134" s="437">
        <v>1355.0927370779775</v>
      </c>
      <c r="H134" s="437">
        <f t="shared" si="12"/>
        <v>1016.3195528084832</v>
      </c>
      <c r="I134" s="437">
        <f t="shared" si="14"/>
        <v>1494.1335014760211</v>
      </c>
      <c r="J134" s="437">
        <f t="shared" si="11"/>
        <v>1120.600126107016</v>
      </c>
      <c r="K134" s="437">
        <f t="shared" si="15"/>
        <v>373.53337536900517</v>
      </c>
    </row>
    <row r="135" spans="1:11">
      <c r="A135" s="195">
        <v>2066</v>
      </c>
      <c r="B135" s="437">
        <v>0</v>
      </c>
      <c r="C135" s="437">
        <v>133.58889804530671</v>
      </c>
      <c r="D135" s="437">
        <f t="shared" si="13"/>
        <v>100.19167353398004</v>
      </c>
      <c r="E135" s="195">
        <v>2066</v>
      </c>
      <c r="F135" s="437">
        <v>0</v>
      </c>
      <c r="G135" s="437">
        <v>1301.9587908565363</v>
      </c>
      <c r="H135" s="437">
        <f t="shared" si="12"/>
        <v>976.46909314240224</v>
      </c>
      <c r="I135" s="437">
        <f t="shared" si="14"/>
        <v>1435.547688901843</v>
      </c>
      <c r="J135" s="437">
        <f t="shared" si="11"/>
        <v>1076.6607666763823</v>
      </c>
      <c r="K135" s="437">
        <f t="shared" si="15"/>
        <v>358.88692222546069</v>
      </c>
    </row>
    <row r="136" spans="1:11">
      <c r="A136" s="195">
        <v>2067</v>
      </c>
      <c r="B136" s="437">
        <v>0</v>
      </c>
      <c r="C136" s="437">
        <v>128.35080242992711</v>
      </c>
      <c r="D136" s="437">
        <f t="shared" si="13"/>
        <v>96.263101822445336</v>
      </c>
      <c r="E136" s="195">
        <v>2067</v>
      </c>
      <c r="F136" s="437">
        <v>0</v>
      </c>
      <c r="G136" s="437">
        <v>1250.9082564664882</v>
      </c>
      <c r="H136" s="437">
        <f t="shared" si="12"/>
        <v>938.18119234986614</v>
      </c>
      <c r="I136" s="437">
        <f t="shared" si="14"/>
        <v>1379.2590588964154</v>
      </c>
      <c r="J136" s="437">
        <f t="shared" si="11"/>
        <v>1034.4442941723114</v>
      </c>
      <c r="K136" s="437">
        <f t="shared" si="15"/>
        <v>344.81476472410395</v>
      </c>
    </row>
    <row r="137" spans="1:11">
      <c r="A137" s="195">
        <v>2068</v>
      </c>
      <c r="B137" s="437">
        <v>0</v>
      </c>
      <c r="C137" s="437">
        <v>123.31809548140031</v>
      </c>
      <c r="D137" s="437">
        <f t="shared" si="13"/>
        <v>92.488571611050233</v>
      </c>
      <c r="E137" s="195">
        <v>2068</v>
      </c>
      <c r="F137" s="437">
        <v>0</v>
      </c>
      <c r="G137" s="437">
        <v>1201.859442161448</v>
      </c>
      <c r="H137" s="437">
        <f t="shared" si="12"/>
        <v>901.39458162108599</v>
      </c>
      <c r="I137" s="437">
        <f t="shared" si="14"/>
        <v>1325.1775376428484</v>
      </c>
      <c r="J137" s="437">
        <f t="shared" si="11"/>
        <v>993.88315323213624</v>
      </c>
      <c r="K137" s="437">
        <f t="shared" si="15"/>
        <v>331.29438441071215</v>
      </c>
    </row>
    <row r="138" spans="1:11">
      <c r="A138" s="195">
        <v>2069</v>
      </c>
      <c r="B138" s="437">
        <v>0</v>
      </c>
      <c r="C138" s="437">
        <v>118.48272379490724</v>
      </c>
      <c r="D138" s="437">
        <f t="shared" si="13"/>
        <v>88.862042846180429</v>
      </c>
      <c r="E138" s="195">
        <v>2069</v>
      </c>
      <c r="F138" s="437">
        <v>0</v>
      </c>
      <c r="G138" s="437">
        <v>1154.7338593742215</v>
      </c>
      <c r="H138" s="437">
        <f t="shared" si="12"/>
        <v>866.05039453066615</v>
      </c>
      <c r="I138" s="437">
        <f t="shared" si="14"/>
        <v>1273.2165831691289</v>
      </c>
      <c r="J138" s="437">
        <f t="shared" si="11"/>
        <v>954.91243737684658</v>
      </c>
      <c r="K138" s="437">
        <f t="shared" si="15"/>
        <v>318.30414579228227</v>
      </c>
    </row>
    <row r="139" spans="1:11">
      <c r="A139" s="195">
        <v>2070</v>
      </c>
      <c r="B139" s="437">
        <v>0</v>
      </c>
      <c r="C139" s="437">
        <v>113.83694974414854</v>
      </c>
      <c r="D139" s="437">
        <f t="shared" si="13"/>
        <v>85.377712308111398</v>
      </c>
      <c r="E139" s="195">
        <v>2070</v>
      </c>
      <c r="F139" s="437">
        <v>0</v>
      </c>
      <c r="G139" s="437">
        <v>1109.4560971183562</v>
      </c>
      <c r="H139" s="437">
        <f t="shared" si="12"/>
        <v>832.09207283876708</v>
      </c>
      <c r="I139" s="437">
        <f t="shared" si="14"/>
        <v>1223.2930468625048</v>
      </c>
      <c r="J139" s="437">
        <f t="shared" si="11"/>
        <v>917.46978514687851</v>
      </c>
      <c r="K139" s="437">
        <f t="shared" si="15"/>
        <v>305.82326171562624</v>
      </c>
    </row>
    <row r="140" spans="1:11">
      <c r="A140" s="195">
        <v>2071</v>
      </c>
      <c r="B140" s="437">
        <v>0</v>
      </c>
      <c r="C140" s="437">
        <v>109.37333909949164</v>
      </c>
      <c r="D140" s="437">
        <f t="shared" si="13"/>
        <v>82.03000432461873</v>
      </c>
      <c r="E140" s="195">
        <v>2071</v>
      </c>
      <c r="F140" s="437">
        <v>0</v>
      </c>
      <c r="G140" s="437">
        <v>1065.9537013144707</v>
      </c>
      <c r="H140" s="437">
        <f t="shared" si="12"/>
        <v>799.46527598585294</v>
      </c>
      <c r="I140" s="437">
        <f t="shared" si="14"/>
        <v>1175.3270404139623</v>
      </c>
      <c r="J140" s="437">
        <f t="shared" si="11"/>
        <v>881.49528031047168</v>
      </c>
      <c r="K140" s="437">
        <f t="shared" si="15"/>
        <v>293.83176010349064</v>
      </c>
    </row>
    <row r="141" spans="1:11">
      <c r="A141" s="195">
        <v>2072</v>
      </c>
      <c r="B141" s="437">
        <v>0</v>
      </c>
      <c r="C141" s="437">
        <v>105.08474913161749</v>
      </c>
      <c r="D141" s="437">
        <f t="shared" si="13"/>
        <v>78.813561848713107</v>
      </c>
      <c r="E141" s="195">
        <v>2072</v>
      </c>
      <c r="F141" s="437">
        <v>0</v>
      </c>
      <c r="G141" s="437">
        <v>1024.1570588482732</v>
      </c>
      <c r="H141" s="437">
        <f t="shared" si="12"/>
        <v>768.11779413620491</v>
      </c>
      <c r="I141" s="437">
        <f t="shared" si="14"/>
        <v>1129.2418079798906</v>
      </c>
      <c r="J141" s="437">
        <f t="shared" si="11"/>
        <v>846.93135598491801</v>
      </c>
      <c r="K141" s="437">
        <f t="shared" si="15"/>
        <v>282.3104519949726</v>
      </c>
    </row>
    <row r="142" spans="1:11">
      <c r="A142" s="195">
        <v>2073</v>
      </c>
      <c r="B142" s="437">
        <v>0</v>
      </c>
      <c r="C142" s="437">
        <v>100.96431718162931</v>
      </c>
      <c r="D142" s="437">
        <f t="shared" si="13"/>
        <v>75.72323788622198</v>
      </c>
      <c r="E142" s="195">
        <v>2073</v>
      </c>
      <c r="F142" s="437">
        <v>0</v>
      </c>
      <c r="G142" s="437">
        <v>983.99928617472517</v>
      </c>
      <c r="H142" s="437">
        <f t="shared" si="12"/>
        <v>737.99946463104391</v>
      </c>
      <c r="I142" s="437">
        <f t="shared" si="14"/>
        <v>1084.9636033563545</v>
      </c>
      <c r="J142" s="437">
        <f t="shared" si="11"/>
        <v>813.72270251726593</v>
      </c>
      <c r="K142" s="437">
        <f t="shared" si="15"/>
        <v>271.24090083908857</v>
      </c>
    </row>
    <row r="143" spans="1:11">
      <c r="A143" s="195">
        <v>2074</v>
      </c>
      <c r="B143" s="437">
        <v>0</v>
      </c>
      <c r="C143" s="437">
        <v>97.005449679334944</v>
      </c>
      <c r="D143" s="437">
        <f t="shared" si="13"/>
        <v>72.754087259501205</v>
      </c>
      <c r="E143" s="195">
        <v>2074</v>
      </c>
      <c r="F143" s="437">
        <v>0</v>
      </c>
      <c r="G143" s="437">
        <v>945.41612229010082</v>
      </c>
      <c r="H143" s="437">
        <f t="shared" si="12"/>
        <v>709.06209171757564</v>
      </c>
      <c r="I143" s="437">
        <f t="shared" si="14"/>
        <v>1042.4215719694357</v>
      </c>
      <c r="J143" s="437">
        <f t="shared" si="11"/>
        <v>781.81617897707679</v>
      </c>
      <c r="K143" s="437">
        <f t="shared" si="15"/>
        <v>260.60539299235893</v>
      </c>
    </row>
    <row r="144" spans="1:11">
      <c r="A144" s="195">
        <v>2075</v>
      </c>
      <c r="B144" s="437">
        <v>0</v>
      </c>
      <c r="C144" s="437">
        <v>93.201811592127115</v>
      </c>
      <c r="D144" s="437">
        <f t="shared" si="13"/>
        <v>69.901358694095336</v>
      </c>
      <c r="E144" s="195">
        <v>2075</v>
      </c>
      <c r="F144" s="437">
        <v>0</v>
      </c>
      <c r="G144" s="437">
        <v>908.34582590067021</v>
      </c>
      <c r="H144" s="437">
        <f t="shared" si="12"/>
        <v>681.25936942550265</v>
      </c>
      <c r="I144" s="437">
        <f t="shared" si="14"/>
        <v>1001.5476374927973</v>
      </c>
      <c r="J144" s="437">
        <f t="shared" si="11"/>
        <v>751.16072811959793</v>
      </c>
      <c r="K144" s="437">
        <f t="shared" si="15"/>
        <v>250.38690937319939</v>
      </c>
    </row>
    <row r="145" spans="5:11">
      <c r="E145" s="195">
        <v>2076</v>
      </c>
      <c r="F145" s="437">
        <v>0</v>
      </c>
      <c r="G145" s="437">
        <v>872.7290766234587</v>
      </c>
      <c r="H145" s="437">
        <f t="shared" si="12"/>
        <v>654.54680746759402</v>
      </c>
      <c r="I145" s="437">
        <f t="shared" si="14"/>
        <v>872.7290766234587</v>
      </c>
      <c r="J145" s="437">
        <f t="shared" si="11"/>
        <v>654.54680746759402</v>
      </c>
      <c r="K145" s="437">
        <f t="shared" si="15"/>
        <v>218.18226915586467</v>
      </c>
    </row>
    <row r="146" spans="5:11">
      <c r="E146" s="195">
        <v>2077</v>
      </c>
      <c r="F146" s="437">
        <v>0</v>
      </c>
      <c r="G146" s="437">
        <v>838.50888006097773</v>
      </c>
      <c r="H146" s="437">
        <f t="shared" si="12"/>
        <v>628.88166004573327</v>
      </c>
      <c r="I146" s="437">
        <f t="shared" si="14"/>
        <v>838.50888006097773</v>
      </c>
      <c r="J146" s="437">
        <f t="shared" si="11"/>
        <v>628.88166004573327</v>
      </c>
      <c r="K146" s="437">
        <f t="shared" si="15"/>
        <v>209.62722001524446</v>
      </c>
    </row>
    <row r="147" spans="5:11">
      <c r="E147" s="195">
        <v>2078</v>
      </c>
      <c r="F147" s="437">
        <v>0</v>
      </c>
      <c r="G147" s="437">
        <v>805.63047659802942</v>
      </c>
      <c r="H147" s="437">
        <f t="shared" si="12"/>
        <v>604.22285744852206</v>
      </c>
      <c r="I147" s="437">
        <f t="shared" si="14"/>
        <v>805.63047659802942</v>
      </c>
      <c r="J147" s="437">
        <f t="shared" si="11"/>
        <v>604.22285744852206</v>
      </c>
      <c r="K147" s="437">
        <f t="shared" si="15"/>
        <v>201.40761914950735</v>
      </c>
    </row>
    <row r="148" spans="5:11">
      <c r="E148" s="195">
        <v>2079</v>
      </c>
      <c r="F148" s="437">
        <v>0</v>
      </c>
      <c r="G148" s="437">
        <v>774.04125377463959</v>
      </c>
      <c r="H148" s="437">
        <f t="shared" si="12"/>
        <v>580.53094033097966</v>
      </c>
      <c r="I148" s="437">
        <f t="shared" si="14"/>
        <v>774.04125377463959</v>
      </c>
      <c r="J148" s="437">
        <f t="shared" si="11"/>
        <v>580.53094033097966</v>
      </c>
      <c r="K148" s="437">
        <f t="shared" si="15"/>
        <v>193.51031344365992</v>
      </c>
    </row>
    <row r="149" spans="5:11">
      <c r="E149" s="195">
        <v>2080</v>
      </c>
      <c r="F149" s="437">
        <v>0</v>
      </c>
      <c r="G149" s="437">
        <v>743.69066209489699</v>
      </c>
      <c r="H149" s="437">
        <f t="shared" si="12"/>
        <v>557.76799657117272</v>
      </c>
      <c r="I149" s="437">
        <f t="shared" si="14"/>
        <v>743.69066209489699</v>
      </c>
      <c r="J149" s="437">
        <f t="shared" si="11"/>
        <v>557.76799657117272</v>
      </c>
      <c r="K149" s="437">
        <f t="shared" si="15"/>
        <v>185.92266552372428</v>
      </c>
    </row>
    <row r="150" spans="5:11">
      <c r="E150" s="195">
        <v>2081</v>
      </c>
      <c r="F150" s="437">
        <v>0</v>
      </c>
      <c r="G150" s="437">
        <v>714.53013413697613</v>
      </c>
      <c r="H150" s="437">
        <f t="shared" si="12"/>
        <v>535.89760060273215</v>
      </c>
      <c r="I150" s="437">
        <f t="shared" si="14"/>
        <v>714.53013413697613</v>
      </c>
      <c r="J150" s="437">
        <f t="shared" si="11"/>
        <v>535.89760060273215</v>
      </c>
      <c r="K150" s="437">
        <f t="shared" si="15"/>
        <v>178.63253353424398</v>
      </c>
    </row>
    <row r="151" spans="5:11">
      <c r="E151" s="195">
        <v>2082</v>
      </c>
      <c r="F151" s="437">
        <v>0</v>
      </c>
      <c r="G151" s="437">
        <v>686.51300683489956</v>
      </c>
      <c r="H151" s="437">
        <f t="shared" si="12"/>
        <v>514.8847551261747</v>
      </c>
      <c r="I151" s="437">
        <f t="shared" si="14"/>
        <v>686.51300683489956</v>
      </c>
      <c r="J151" s="437">
        <f t="shared" si="11"/>
        <v>514.8847551261747</v>
      </c>
      <c r="K151" s="437">
        <f t="shared" si="15"/>
        <v>171.62825170872486</v>
      </c>
    </row>
    <row r="152" spans="5:11">
      <c r="E152" s="195">
        <v>2083</v>
      </c>
      <c r="F152" s="437">
        <v>0</v>
      </c>
      <c r="G152" s="437">
        <v>659.59444680767831</v>
      </c>
      <c r="H152" s="437">
        <f t="shared" si="12"/>
        <v>494.69583510575876</v>
      </c>
      <c r="I152" s="437">
        <f t="shared" si="14"/>
        <v>659.59444680767831</v>
      </c>
      <c r="J152" s="437">
        <f t="shared" si="11"/>
        <v>494.69583510575876</v>
      </c>
      <c r="K152" s="437">
        <f t="shared" si="15"/>
        <v>164.89861170191955</v>
      </c>
    </row>
    <row r="153" spans="5:11">
      <c r="E153" s="195">
        <v>2084</v>
      </c>
      <c r="F153" s="437">
        <v>0</v>
      </c>
      <c r="G153" s="437">
        <v>633.73137861633609</v>
      </c>
      <c r="H153" s="437">
        <f t="shared" si="12"/>
        <v>475.29853396225207</v>
      </c>
      <c r="I153" s="437">
        <f t="shared" si="14"/>
        <v>633.73137861633609</v>
      </c>
      <c r="J153" s="437">
        <f t="shared" ref="J153:J184" si="16">D153+H153</f>
        <v>475.29853396225207</v>
      </c>
      <c r="K153" s="437">
        <f t="shared" si="15"/>
        <v>158.43284465408402</v>
      </c>
    </row>
    <row r="154" spans="5:11">
      <c r="E154" s="195">
        <v>2085</v>
      </c>
      <c r="F154" s="437">
        <v>0</v>
      </c>
      <c r="G154" s="437">
        <v>608.88241583401816</v>
      </c>
      <c r="H154" s="437">
        <f t="shared" si="12"/>
        <v>456.66181187551365</v>
      </c>
      <c r="I154" s="437">
        <f t="shared" si="14"/>
        <v>608.88241583401816</v>
      </c>
      <c r="J154" s="437">
        <f t="shared" si="16"/>
        <v>456.66181187551365</v>
      </c>
      <c r="K154" s="437">
        <f t="shared" si="15"/>
        <v>152.22060395850451</v>
      </c>
    </row>
    <row r="155" spans="5:11">
      <c r="E155" s="195">
        <v>2086</v>
      </c>
      <c r="F155" s="437">
        <v>0</v>
      </c>
      <c r="G155" s="437">
        <v>585.00779481887798</v>
      </c>
      <c r="H155" s="437">
        <f t="shared" si="12"/>
        <v>438.75584611415849</v>
      </c>
      <c r="I155" s="437">
        <f t="shared" si="14"/>
        <v>585.00779481887798</v>
      </c>
      <c r="J155" s="437">
        <f t="shared" si="16"/>
        <v>438.75584611415849</v>
      </c>
      <c r="K155" s="437">
        <f t="shared" si="15"/>
        <v>146.2519487047195</v>
      </c>
    </row>
    <row r="156" spans="5:11">
      <c r="E156" s="195">
        <v>2087</v>
      </c>
      <c r="F156" s="437">
        <v>0</v>
      </c>
      <c r="G156" s="437">
        <v>562.06931108376716</v>
      </c>
      <c r="H156" s="437">
        <f t="shared" si="12"/>
        <v>421.55198331282537</v>
      </c>
      <c r="I156" s="437">
        <f t="shared" si="14"/>
        <v>562.06931108376716</v>
      </c>
      <c r="J156" s="437">
        <f t="shared" si="16"/>
        <v>421.55198331282537</v>
      </c>
      <c r="K156" s="437">
        <f t="shared" si="15"/>
        <v>140.51732777094179</v>
      </c>
    </row>
    <row r="157" spans="5:11">
      <c r="E157" s="195">
        <v>2088</v>
      </c>
      <c r="F157" s="437">
        <v>0</v>
      </c>
      <c r="G157" s="437">
        <v>540.0302581609053</v>
      </c>
      <c r="H157" s="437">
        <f t="shared" si="12"/>
        <v>405.02269362067898</v>
      </c>
      <c r="I157" s="437">
        <f t="shared" si="14"/>
        <v>540.0302581609053</v>
      </c>
      <c r="J157" s="437">
        <f t="shared" si="16"/>
        <v>405.02269362067898</v>
      </c>
      <c r="K157" s="437">
        <f t="shared" si="15"/>
        <v>135.00756454022633</v>
      </c>
    </row>
    <row r="158" spans="5:11">
      <c r="E158" s="195">
        <v>2089</v>
      </c>
      <c r="F158" s="437">
        <v>0</v>
      </c>
      <c r="G158" s="437">
        <v>518.85536886370051</v>
      </c>
      <c r="H158" s="437">
        <f t="shared" si="12"/>
        <v>389.14152664777538</v>
      </c>
      <c r="I158" s="437">
        <f t="shared" si="14"/>
        <v>518.85536886370051</v>
      </c>
      <c r="J158" s="437">
        <f t="shared" si="16"/>
        <v>389.14152664777538</v>
      </c>
      <c r="K158" s="437">
        <f t="shared" si="15"/>
        <v>129.71384221592513</v>
      </c>
    </row>
    <row r="159" spans="5:11">
      <c r="E159" s="195">
        <v>2090</v>
      </c>
      <c r="F159" s="437">
        <v>0</v>
      </c>
      <c r="G159" s="437">
        <v>498.51075885172662</v>
      </c>
      <c r="H159" s="437">
        <f t="shared" si="12"/>
        <v>373.88306913879495</v>
      </c>
      <c r="I159" s="437">
        <f t="shared" si="14"/>
        <v>498.51075885172662</v>
      </c>
      <c r="J159" s="437">
        <f t="shared" si="16"/>
        <v>373.88306913879495</v>
      </c>
      <c r="K159" s="437">
        <f t="shared" si="15"/>
        <v>124.62768971293167</v>
      </c>
    </row>
    <row r="160" spans="5:11">
      <c r="E160" s="195">
        <v>2091</v>
      </c>
      <c r="F160" s="437">
        <v>0</v>
      </c>
      <c r="G160" s="437">
        <v>478.96387240854943</v>
      </c>
      <c r="H160" s="437">
        <f t="shared" si="12"/>
        <v>359.22290430641209</v>
      </c>
      <c r="I160" s="437">
        <f t="shared" si="14"/>
        <v>478.96387240854943</v>
      </c>
      <c r="J160" s="437">
        <f t="shared" si="16"/>
        <v>359.22290430641209</v>
      </c>
      <c r="K160" s="437">
        <f t="shared" si="15"/>
        <v>119.74096810213734</v>
      </c>
    </row>
    <row r="161" spans="5:11">
      <c r="E161" s="195">
        <v>2092</v>
      </c>
      <c r="F161" s="437">
        <v>0</v>
      </c>
      <c r="G161" s="437">
        <v>460.18343034563503</v>
      </c>
      <c r="H161" s="437">
        <f t="shared" si="12"/>
        <v>345.13757275922626</v>
      </c>
      <c r="I161" s="437">
        <f t="shared" si="14"/>
        <v>460.18343034563503</v>
      </c>
      <c r="J161" s="437">
        <f t="shared" si="16"/>
        <v>345.13757275922626</v>
      </c>
      <c r="K161" s="437">
        <f t="shared" si="15"/>
        <v>115.04585758640877</v>
      </c>
    </row>
    <row r="162" spans="5:11">
      <c r="E162" s="195">
        <v>2093</v>
      </c>
      <c r="F162" s="437">
        <v>0</v>
      </c>
      <c r="G162" s="437">
        <v>442.13937994897492</v>
      </c>
      <c r="H162" s="437">
        <f t="shared" si="12"/>
        <v>331.60453496173119</v>
      </c>
      <c r="I162" s="437">
        <f t="shared" si="14"/>
        <v>442.13937994897492</v>
      </c>
      <c r="J162" s="437">
        <f t="shared" si="16"/>
        <v>331.60453496173119</v>
      </c>
      <c r="K162" s="437">
        <f t="shared" si="15"/>
        <v>110.53484498724373</v>
      </c>
    </row>
    <row r="163" spans="5:11">
      <c r="E163" s="195">
        <v>2094</v>
      </c>
      <c r="F163" s="437">
        <v>0</v>
      </c>
      <c r="G163" s="437">
        <v>424.80284688833149</v>
      </c>
      <c r="H163" s="437">
        <f t="shared" si="12"/>
        <v>318.60213516624862</v>
      </c>
      <c r="I163" s="437">
        <f t="shared" si="14"/>
        <v>424.80284688833149</v>
      </c>
      <c r="J163" s="437">
        <f t="shared" si="16"/>
        <v>318.60213516624862</v>
      </c>
      <c r="K163" s="437">
        <f t="shared" si="15"/>
        <v>106.20071172208287</v>
      </c>
    </row>
    <row r="164" spans="5:11">
      <c r="E164" s="195">
        <v>2095</v>
      </c>
      <c r="F164" s="437">
        <v>0</v>
      </c>
      <c r="G164" s="437">
        <v>408.14608901215024</v>
      </c>
      <c r="H164" s="437">
        <f t="shared" si="12"/>
        <v>306.10956675911268</v>
      </c>
      <c r="I164" s="437">
        <f t="shared" si="14"/>
        <v>408.14608901215024</v>
      </c>
      <c r="J164" s="437">
        <f t="shared" si="16"/>
        <v>306.10956675911268</v>
      </c>
      <c r="K164" s="437">
        <f t="shared" si="15"/>
        <v>102.03652225303756</v>
      </c>
    </row>
    <row r="165" spans="5:11">
      <c r="E165" s="195">
        <v>2096</v>
      </c>
      <c r="F165" s="437">
        <v>0</v>
      </c>
      <c r="G165" s="437">
        <v>392.14245195419807</v>
      </c>
      <c r="H165" s="437">
        <f t="shared" si="12"/>
        <v>294.10683896564854</v>
      </c>
      <c r="I165" s="437">
        <f t="shared" si="14"/>
        <v>392.14245195419807</v>
      </c>
      <c r="J165" s="437">
        <f t="shared" si="16"/>
        <v>294.10683896564854</v>
      </c>
      <c r="K165" s="437">
        <f t="shared" si="15"/>
        <v>98.035612988549531</v>
      </c>
    </row>
    <row r="166" spans="5:11">
      <c r="E166" s="195">
        <v>2097</v>
      </c>
      <c r="F166" s="437">
        <v>0</v>
      </c>
      <c r="G166" s="437">
        <v>376.76632648089071</v>
      </c>
      <c r="H166" s="437">
        <f t="shared" si="12"/>
        <v>282.57474486066803</v>
      </c>
      <c r="I166" s="437">
        <f t="shared" si="14"/>
        <v>376.76632648089071</v>
      </c>
      <c r="J166" s="437">
        <f t="shared" si="16"/>
        <v>282.57474486066803</v>
      </c>
      <c r="K166" s="437">
        <f t="shared" si="15"/>
        <v>94.191581620222678</v>
      </c>
    </row>
    <row r="167" spans="5:11">
      <c r="E167" s="195">
        <v>2098</v>
      </c>
      <c r="F167" s="437">
        <v>0</v>
      </c>
      <c r="G167" s="437">
        <v>361.99310751105617</v>
      </c>
      <c r="H167" s="437">
        <f t="shared" si="12"/>
        <v>271.49483063329211</v>
      </c>
      <c r="I167" s="437">
        <f t="shared" si="14"/>
        <v>361.99310751105617</v>
      </c>
      <c r="J167" s="437">
        <f t="shared" si="16"/>
        <v>271.49483063329211</v>
      </c>
      <c r="K167" s="437">
        <f t="shared" si="15"/>
        <v>90.498276877764056</v>
      </c>
    </row>
    <row r="168" spans="5:11">
      <c r="E168" s="195">
        <v>2099</v>
      </c>
      <c r="F168" s="437">
        <v>0</v>
      </c>
      <c r="G168" s="437">
        <v>347.79915474255432</v>
      </c>
      <c r="H168" s="437">
        <f t="shared" si="12"/>
        <v>260.84936605691576</v>
      </c>
      <c r="I168" s="437">
        <f t="shared" si="14"/>
        <v>347.79915474255432</v>
      </c>
      <c r="J168" s="437">
        <f t="shared" si="16"/>
        <v>260.84936605691576</v>
      </c>
      <c r="K168" s="437">
        <f t="shared" si="15"/>
        <v>86.949788685638566</v>
      </c>
    </row>
    <row r="169" spans="5:11">
      <c r="E169" s="195">
        <v>2100</v>
      </c>
      <c r="F169" s="437">
        <v>0</v>
      </c>
      <c r="G169" s="437">
        <v>334.16175482275082</v>
      </c>
      <c r="H169" s="437">
        <f t="shared" si="12"/>
        <v>250.62131611706312</v>
      </c>
      <c r="I169" s="437">
        <f t="shared" si="14"/>
        <v>334.16175482275082</v>
      </c>
      <c r="J169" s="437">
        <f t="shared" si="16"/>
        <v>250.62131611706312</v>
      </c>
      <c r="K169" s="437">
        <f t="shared" si="15"/>
        <v>83.540438705687706</v>
      </c>
    </row>
    <row r="170" spans="5:11">
      <c r="E170" s="195">
        <v>2101</v>
      </c>
      <c r="F170" s="437">
        <v>0</v>
      </c>
      <c r="G170" s="437">
        <v>321.05908500230686</v>
      </c>
      <c r="H170" s="437">
        <f t="shared" si="12"/>
        <v>240.79431375173016</v>
      </c>
      <c r="I170" s="437">
        <f t="shared" si="14"/>
        <v>321.05908500230686</v>
      </c>
      <c r="J170" s="437">
        <f t="shared" si="16"/>
        <v>240.79431375173016</v>
      </c>
      <c r="K170" s="437">
        <f t="shared" si="15"/>
        <v>80.2647712505767</v>
      </c>
    </row>
    <row r="171" spans="5:11">
      <c r="E171" s="195">
        <v>2102</v>
      </c>
      <c r="F171" s="437">
        <v>0</v>
      </c>
      <c r="G171" s="437">
        <v>308.47017821412442</v>
      </c>
      <c r="H171" s="437">
        <f t="shared" si="12"/>
        <v>231.35263366059331</v>
      </c>
      <c r="I171" s="437">
        <f t="shared" si="14"/>
        <v>308.47017821412442</v>
      </c>
      <c r="J171" s="437">
        <f t="shared" si="16"/>
        <v>231.35263366059331</v>
      </c>
      <c r="K171" s="437">
        <f t="shared" si="15"/>
        <v>77.117544553531104</v>
      </c>
    </row>
    <row r="172" spans="5:11">
      <c r="E172" s="195">
        <v>2103</v>
      </c>
      <c r="F172" s="437">
        <v>0</v>
      </c>
      <c r="G172" s="437">
        <v>296.37488952156588</v>
      </c>
      <c r="H172" s="437">
        <f t="shared" si="12"/>
        <v>222.28116714117442</v>
      </c>
      <c r="I172" s="437">
        <f t="shared" si="14"/>
        <v>296.37488952156588</v>
      </c>
      <c r="J172" s="437">
        <f t="shared" si="16"/>
        <v>222.28116714117442</v>
      </c>
      <c r="K172" s="437">
        <f t="shared" si="15"/>
        <v>74.093722380391455</v>
      </c>
    </row>
    <row r="173" spans="5:11">
      <c r="E173" s="195">
        <v>2104</v>
      </c>
      <c r="F173" s="437">
        <v>0</v>
      </c>
      <c r="G173" s="437">
        <v>284.75386388225701</v>
      </c>
      <c r="H173" s="437">
        <f t="shared" si="12"/>
        <v>213.56539791169274</v>
      </c>
      <c r="I173" s="437">
        <f t="shared" si="14"/>
        <v>284.75386388225701</v>
      </c>
      <c r="J173" s="437">
        <f t="shared" si="16"/>
        <v>213.56539791169274</v>
      </c>
      <c r="K173" s="437">
        <f t="shared" si="15"/>
        <v>71.188465970564266</v>
      </c>
    </row>
    <row r="174" spans="5:11">
      <c r="E174" s="195">
        <v>2105</v>
      </c>
      <c r="F174" s="437">
        <v>0</v>
      </c>
      <c r="G174" s="437">
        <v>273.58850517589065</v>
      </c>
      <c r="H174" s="437">
        <f t="shared" si="12"/>
        <v>205.19137888191798</v>
      </c>
      <c r="I174" s="437">
        <f t="shared" si="14"/>
        <v>273.58850517589065</v>
      </c>
      <c r="J174" s="437">
        <f t="shared" si="16"/>
        <v>205.19137888191798</v>
      </c>
      <c r="K174" s="437">
        <f t="shared" si="15"/>
        <v>68.397126293972661</v>
      </c>
    </row>
    <row r="175" spans="5:11">
      <c r="E175" s="195">
        <v>2106</v>
      </c>
      <c r="F175" s="437">
        <v>0</v>
      </c>
      <c r="G175" s="437">
        <v>262.86094644646647</v>
      </c>
      <c r="H175" s="437">
        <f t="shared" si="12"/>
        <v>197.14570983484987</v>
      </c>
      <c r="I175" s="437">
        <f t="shared" si="14"/>
        <v>262.86094644646647</v>
      </c>
      <c r="J175" s="437">
        <f t="shared" si="16"/>
        <v>197.14570983484987</v>
      </c>
      <c r="K175" s="437">
        <f t="shared" si="15"/>
        <v>65.715236611616604</v>
      </c>
    </row>
    <row r="176" spans="5:11">
      <c r="E176" s="195">
        <v>2107</v>
      </c>
      <c r="F176" s="437">
        <v>0</v>
      </c>
      <c r="G176" s="437">
        <v>252.55402131134943</v>
      </c>
      <c r="H176" s="437">
        <f t="shared" si="12"/>
        <v>189.41551598351208</v>
      </c>
      <c r="I176" s="437">
        <f t="shared" si="14"/>
        <v>252.55402131134943</v>
      </c>
      <c r="J176" s="437">
        <f t="shared" si="16"/>
        <v>189.41551598351208</v>
      </c>
      <c r="K176" s="437">
        <f t="shared" si="15"/>
        <v>63.13850532783735</v>
      </c>
    </row>
    <row r="177" spans="5:11">
      <c r="E177" s="195">
        <v>2108</v>
      </c>
      <c r="F177" s="437">
        <v>0</v>
      </c>
      <c r="G177" s="437">
        <v>242.65123649139522</v>
      </c>
      <c r="H177" s="437">
        <f t="shared" si="12"/>
        <v>181.98842736854641</v>
      </c>
      <c r="I177" s="437">
        <f t="shared" si="14"/>
        <v>242.65123649139522</v>
      </c>
      <c r="J177" s="437">
        <f t="shared" si="16"/>
        <v>181.98842736854641</v>
      </c>
      <c r="K177" s="437">
        <f t="shared" si="15"/>
        <v>60.662809122848813</v>
      </c>
    </row>
    <row r="178" spans="5:11">
      <c r="E178" s="195">
        <v>2109</v>
      </c>
      <c r="F178" s="437">
        <v>0</v>
      </c>
      <c r="G178" s="437">
        <v>233.13674541818534</v>
      </c>
      <c r="H178" s="437">
        <f t="shared" si="12"/>
        <v>174.85255906363901</v>
      </c>
      <c r="I178" s="437">
        <f t="shared" si="14"/>
        <v>233.13674541818534</v>
      </c>
      <c r="J178" s="437">
        <f t="shared" si="16"/>
        <v>174.85255906363901</v>
      </c>
      <c r="K178" s="437">
        <f t="shared" si="15"/>
        <v>58.284186354546335</v>
      </c>
    </row>
    <row r="179" spans="5:11">
      <c r="E179" s="195">
        <v>2110</v>
      </c>
      <c r="F179" s="437">
        <v>0</v>
      </c>
      <c r="G179" s="437">
        <v>223.99532287613633</v>
      </c>
      <c r="H179" s="437">
        <f t="shared" si="12"/>
        <v>167.99649215710224</v>
      </c>
      <c r="I179" s="437">
        <f t="shared" si="14"/>
        <v>223.99532287613633</v>
      </c>
      <c r="J179" s="437">
        <f t="shared" si="16"/>
        <v>167.99649215710224</v>
      </c>
      <c r="K179" s="437">
        <f t="shared" si="15"/>
        <v>55.998830719034089</v>
      </c>
    </row>
    <row r="180" spans="5:11">
      <c r="E180" s="195">
        <v>2111</v>
      </c>
      <c r="F180" s="437">
        <v>0</v>
      </c>
      <c r="G180" s="437">
        <v>215.21234063890657</v>
      </c>
      <c r="H180" s="437">
        <f t="shared" si="12"/>
        <v>161.40925547917993</v>
      </c>
      <c r="I180" s="437">
        <f t="shared" si="14"/>
        <v>215.21234063890657</v>
      </c>
      <c r="J180" s="437">
        <f t="shared" si="16"/>
        <v>161.40925547917993</v>
      </c>
      <c r="K180" s="437">
        <f t="shared" si="15"/>
        <v>53.803085159726635</v>
      </c>
    </row>
    <row r="181" spans="5:11">
      <c r="E181" s="195">
        <v>2112</v>
      </c>
      <c r="F181" s="437">
        <v>0</v>
      </c>
      <c r="G181" s="437">
        <v>206.77374406111377</v>
      </c>
      <c r="H181" s="437">
        <f t="shared" si="12"/>
        <v>155.08030804583532</v>
      </c>
      <c r="I181" s="437">
        <f t="shared" si="14"/>
        <v>206.77374406111377</v>
      </c>
      <c r="J181" s="437">
        <f t="shared" si="16"/>
        <v>155.08030804583532</v>
      </c>
      <c r="K181" s="437">
        <f t="shared" si="15"/>
        <v>51.693436015278451</v>
      </c>
    </row>
    <row r="182" spans="5:11">
      <c r="E182" s="195">
        <v>2113</v>
      </c>
      <c r="F182" s="437">
        <v>0</v>
      </c>
      <c r="G182" s="437">
        <v>198.66602958790355</v>
      </c>
      <c r="H182" s="437">
        <f t="shared" si="12"/>
        <v>148.99952219092768</v>
      </c>
      <c r="I182" s="437">
        <f t="shared" si="14"/>
        <v>198.66602958790355</v>
      </c>
      <c r="J182" s="437">
        <f t="shared" si="16"/>
        <v>148.99952219092768</v>
      </c>
      <c r="K182" s="437">
        <f t="shared" si="15"/>
        <v>49.666507396975874</v>
      </c>
    </row>
    <row r="183" spans="5:11">
      <c r="E183" s="195">
        <v>2114</v>
      </c>
      <c r="F183" s="437">
        <v>0</v>
      </c>
      <c r="G183" s="437">
        <v>190.87622314638065</v>
      </c>
      <c r="H183" s="437">
        <f t="shared" si="12"/>
        <v>143.15716735978549</v>
      </c>
      <c r="I183" s="437">
        <f t="shared" si="14"/>
        <v>190.87622314638065</v>
      </c>
      <c r="J183" s="437">
        <f t="shared" si="16"/>
        <v>143.15716735978549</v>
      </c>
      <c r="K183" s="437">
        <f t="shared" si="15"/>
        <v>47.719055786595163</v>
      </c>
    </row>
    <row r="184" spans="5:11">
      <c r="E184" s="195">
        <v>2115</v>
      </c>
      <c r="F184" s="437">
        <v>0</v>
      </c>
      <c r="G184" s="437">
        <v>183.39185938432479</v>
      </c>
      <c r="H184" s="437">
        <f t="shared" si="12"/>
        <v>137.54389453824359</v>
      </c>
      <c r="I184" s="437">
        <f t="shared" si="14"/>
        <v>183.39185938432479</v>
      </c>
      <c r="J184" s="437">
        <f t="shared" si="16"/>
        <v>137.54389453824359</v>
      </c>
      <c r="K184" s="437">
        <f t="shared" si="15"/>
        <v>45.847964846081197</v>
      </c>
    </row>
    <row r="185" spans="5:11">
      <c r="E185" s="195">
        <v>2116</v>
      </c>
      <c r="F185" s="437">
        <v>0</v>
      </c>
      <c r="G185" s="437">
        <v>176.20096172296707</v>
      </c>
      <c r="H185" s="437">
        <f t="shared" si="12"/>
        <v>132.15072129222528</v>
      </c>
      <c r="I185" s="437">
        <f t="shared" si="14"/>
        <v>176.20096172296707</v>
      </c>
      <c r="J185" s="437">
        <f t="shared" ref="J185:J197" si="17">D185+H185</f>
        <v>132.15072129222528</v>
      </c>
      <c r="K185" s="437">
        <f t="shared" si="15"/>
        <v>44.050240430741781</v>
      </c>
    </row>
    <row r="186" spans="5:11">
      <c r="E186" s="195">
        <v>2117</v>
      </c>
      <c r="F186" s="437">
        <v>0</v>
      </c>
      <c r="G186" s="437">
        <v>169.29202319190952</v>
      </c>
      <c r="H186" s="437">
        <f t="shared" ref="H186:H197" si="18">G186*0.75</f>
        <v>126.96901739393215</v>
      </c>
      <c r="I186" s="437">
        <f t="shared" si="14"/>
        <v>169.29202319190952</v>
      </c>
      <c r="J186" s="437">
        <f t="shared" si="17"/>
        <v>126.96901739393215</v>
      </c>
      <c r="K186" s="437">
        <f t="shared" si="15"/>
        <v>42.323005797977373</v>
      </c>
    </row>
    <row r="187" spans="5:11">
      <c r="E187" s="195">
        <v>2118</v>
      </c>
      <c r="F187" s="437">
        <v>0</v>
      </c>
      <c r="G187" s="437">
        <v>162.6539880155168</v>
      </c>
      <c r="H187" s="437">
        <f t="shared" si="18"/>
        <v>121.9904910116376</v>
      </c>
      <c r="I187" s="437">
        <f t="shared" si="14"/>
        <v>162.6539880155168</v>
      </c>
      <c r="J187" s="437">
        <f t="shared" si="17"/>
        <v>121.9904910116376</v>
      </c>
      <c r="K187" s="437">
        <f t="shared" si="15"/>
        <v>40.663497003879201</v>
      </c>
    </row>
    <row r="188" spans="5:11">
      <c r="E188" s="195">
        <v>2119</v>
      </c>
      <c r="F188" s="437">
        <v>0</v>
      </c>
      <c r="G188" s="437">
        <v>156.27623392131721</v>
      </c>
      <c r="H188" s="437">
        <f t="shared" si="18"/>
        <v>117.20717544098791</v>
      </c>
      <c r="I188" s="437">
        <f t="shared" si="14"/>
        <v>156.27623392131721</v>
      </c>
      <c r="J188" s="437">
        <f t="shared" si="17"/>
        <v>117.20717544098791</v>
      </c>
      <c r="K188" s="437">
        <f t="shared" si="15"/>
        <v>39.069058480329304</v>
      </c>
    </row>
    <row r="189" spans="5:11">
      <c r="E189" s="195">
        <v>2120</v>
      </c>
      <c r="F189" s="437">
        <v>0</v>
      </c>
      <c r="G189" s="437">
        <v>150.14855514209955</v>
      </c>
      <c r="H189" s="437">
        <f t="shared" si="18"/>
        <v>112.61141635657467</v>
      </c>
      <c r="I189" s="437">
        <f t="shared" si="14"/>
        <v>150.14855514209955</v>
      </c>
      <c r="J189" s="437">
        <f t="shared" si="17"/>
        <v>112.61141635657467</v>
      </c>
      <c r="K189" s="437">
        <f t="shared" si="15"/>
        <v>37.537138785524888</v>
      </c>
    </row>
    <row r="190" spans="5:11">
      <c r="E190" s="195">
        <v>2121</v>
      </c>
      <c r="F190" s="437">
        <v>0</v>
      </c>
      <c r="G190" s="437">
        <v>144.26114608450956</v>
      </c>
      <c r="H190" s="437">
        <f t="shared" si="18"/>
        <v>108.19585956338217</v>
      </c>
      <c r="I190" s="437">
        <f t="shared" si="14"/>
        <v>144.26114608450956</v>
      </c>
      <c r="J190" s="437">
        <f t="shared" si="17"/>
        <v>108.19585956338217</v>
      </c>
      <c r="K190" s="437">
        <f t="shared" si="15"/>
        <v>36.065286521127391</v>
      </c>
    </row>
    <row r="191" spans="5:11">
      <c r="E191" s="195">
        <v>2122</v>
      </c>
      <c r="F191" s="437">
        <v>0</v>
      </c>
      <c r="G191" s="437">
        <v>138.60458563800728</v>
      </c>
      <c r="H191" s="437">
        <f t="shared" si="18"/>
        <v>103.95343922850546</v>
      </c>
      <c r="I191" s="437">
        <f t="shared" si="14"/>
        <v>138.60458563800728</v>
      </c>
      <c r="J191" s="437">
        <f t="shared" si="17"/>
        <v>103.95343922850546</v>
      </c>
      <c r="K191" s="437">
        <f t="shared" si="15"/>
        <v>34.65114640950182</v>
      </c>
    </row>
    <row r="192" spans="5:11">
      <c r="E192" s="195">
        <v>2123</v>
      </c>
      <c r="F192" s="437">
        <v>0</v>
      </c>
      <c r="G192" s="437">
        <v>133.16982209908116</v>
      </c>
      <c r="H192" s="437">
        <f t="shared" si="18"/>
        <v>99.877366574310869</v>
      </c>
      <c r="I192" s="437">
        <f t="shared" si="14"/>
        <v>133.16982209908116</v>
      </c>
      <c r="J192" s="437">
        <f t="shared" si="17"/>
        <v>99.877366574310869</v>
      </c>
      <c r="K192" s="437">
        <f t="shared" si="15"/>
        <v>33.29245552477029</v>
      </c>
    </row>
    <row r="193" spans="5:11">
      <c r="E193" s="195">
        <v>2124</v>
      </c>
      <c r="F193" s="437">
        <v>0</v>
      </c>
      <c r="G193" s="437">
        <v>127.94815868659087</v>
      </c>
      <c r="H193" s="437">
        <f t="shared" si="18"/>
        <v>95.961119014943151</v>
      </c>
      <c r="I193" s="437">
        <f t="shared" si="14"/>
        <v>127.94815868659087</v>
      </c>
      <c r="J193" s="437">
        <f t="shared" si="17"/>
        <v>95.961119014943151</v>
      </c>
      <c r="K193" s="437">
        <f t="shared" si="15"/>
        <v>31.987039671647722</v>
      </c>
    </row>
    <row r="194" spans="5:11">
      <c r="E194" s="195">
        <v>2125</v>
      </c>
      <c r="F194" s="437">
        <v>0</v>
      </c>
      <c r="G194" s="437">
        <v>122.93123962506206</v>
      </c>
      <c r="H194" s="437">
        <f t="shared" si="18"/>
        <v>92.198429718796547</v>
      </c>
      <c r="I194" s="437">
        <f t="shared" si="14"/>
        <v>122.93123962506206</v>
      </c>
      <c r="J194" s="437">
        <f t="shared" si="17"/>
        <v>92.198429718796547</v>
      </c>
      <c r="K194" s="437">
        <f t="shared" si="15"/>
        <v>30.732809906265516</v>
      </c>
    </row>
    <row r="195" spans="5:11">
      <c r="E195" s="195">
        <v>2126</v>
      </c>
      <c r="F195" s="437">
        <v>0</v>
      </c>
      <c r="G195" s="437">
        <v>118.11103677366327</v>
      </c>
      <c r="H195" s="437">
        <f t="shared" si="18"/>
        <v>88.583277580247454</v>
      </c>
      <c r="I195" s="437">
        <f t="shared" si="14"/>
        <v>118.11103677366327</v>
      </c>
      <c r="J195" s="437">
        <f t="shared" si="17"/>
        <v>88.583277580247454</v>
      </c>
      <c r="K195" s="437">
        <f t="shared" si="15"/>
        <v>29.527759193415818</v>
      </c>
    </row>
    <row r="196" spans="5:11">
      <c r="E196" s="195">
        <v>2127</v>
      </c>
      <c r="F196" s="437">
        <v>0</v>
      </c>
      <c r="G196" s="437">
        <v>113.47983677946736</v>
      </c>
      <c r="H196" s="437">
        <f t="shared" si="18"/>
        <v>85.109877584600525</v>
      </c>
      <c r="I196" s="437">
        <f t="shared" si="14"/>
        <v>113.47983677946736</v>
      </c>
      <c r="J196" s="437">
        <f t="shared" si="17"/>
        <v>85.109877584600525</v>
      </c>
      <c r="K196" s="437">
        <f t="shared" si="15"/>
        <v>28.369959194866837</v>
      </c>
    </row>
    <row r="197" spans="5:11">
      <c r="E197" s="195">
        <v>2128</v>
      </c>
      <c r="F197" s="437">
        <v>0</v>
      </c>
      <c r="G197" s="437">
        <v>109.03022873444161</v>
      </c>
      <c r="H197" s="437">
        <f t="shared" si="18"/>
        <v>81.772671550831205</v>
      </c>
      <c r="I197" s="437">
        <f>C197+G197</f>
        <v>109.03022873444161</v>
      </c>
      <c r="J197" s="437">
        <f t="shared" si="17"/>
        <v>81.772671550831205</v>
      </c>
      <c r="K197" s="437">
        <f>I197-J197</f>
        <v>27.257557183610402</v>
      </c>
    </row>
  </sheetData>
  <pageMargins left="0.7" right="0.7" top="0.75" bottom="0.75" header="0.3" footer="0.3"/>
  <pageSetup scale="6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CE22B-090E-43C8-9530-5E5B86BFCC80}">
  <sheetPr>
    <tabColor rgb="FF00B050"/>
    <pageSetUpPr fitToPage="1"/>
  </sheetPr>
  <dimension ref="A1:I72"/>
  <sheetViews>
    <sheetView zoomScaleNormal="100" workbookViewId="0">
      <selection activeCell="D8" sqref="D8"/>
    </sheetView>
  </sheetViews>
  <sheetFormatPr defaultRowHeight="12.75"/>
  <cols>
    <col min="1" max="1" width="46.42578125" customWidth="1"/>
    <col min="2" max="2" width="8.85546875" customWidth="1"/>
    <col min="4" max="4" width="14.7109375" customWidth="1"/>
    <col min="5" max="5" width="16.7109375" customWidth="1"/>
    <col min="6" max="6" width="16" customWidth="1"/>
    <col min="7" max="7" width="16.28515625" customWidth="1"/>
    <col min="8" max="8" width="12.5703125" customWidth="1"/>
    <col min="9" max="9" width="11.28515625" customWidth="1"/>
  </cols>
  <sheetData>
    <row r="1" spans="1:9">
      <c r="D1" s="171" t="s">
        <v>617</v>
      </c>
      <c r="E1" s="159"/>
      <c r="H1" s="159"/>
    </row>
    <row r="2" spans="1:9">
      <c r="E2" s="159"/>
      <c r="F2" s="171"/>
      <c r="G2" s="171"/>
      <c r="H2" s="159"/>
    </row>
    <row r="3" spans="1:9" ht="15">
      <c r="D3" s="172" t="s">
        <v>210</v>
      </c>
      <c r="F3" s="172"/>
      <c r="G3" s="172"/>
      <c r="H3" s="173"/>
    </row>
    <row r="4" spans="1:9">
      <c r="E4" s="159"/>
      <c r="F4" s="171"/>
      <c r="G4" s="171"/>
      <c r="H4" s="159"/>
    </row>
    <row r="5" spans="1:9">
      <c r="C5" s="174" t="s">
        <v>189</v>
      </c>
      <c r="D5" t="s">
        <v>207</v>
      </c>
    </row>
    <row r="6" spans="1:9">
      <c r="C6" s="174" t="s">
        <v>190</v>
      </c>
      <c r="D6" t="s">
        <v>208</v>
      </c>
    </row>
    <row r="7" spans="1:9">
      <c r="C7" s="174" t="s">
        <v>305</v>
      </c>
      <c r="D7" t="s">
        <v>309</v>
      </c>
    </row>
    <row r="8" spans="1:9">
      <c r="C8" s="174" t="s">
        <v>191</v>
      </c>
      <c r="D8" s="438" t="s">
        <v>718</v>
      </c>
    </row>
    <row r="9" spans="1:9" ht="15">
      <c r="A9" s="429"/>
      <c r="B9" s="429"/>
      <c r="C9" s="536"/>
      <c r="D9" s="537"/>
      <c r="E9" s="429"/>
    </row>
    <row r="10" spans="1:9" ht="15.75" thickBot="1">
      <c r="A10" s="772" t="s">
        <v>211</v>
      </c>
      <c r="B10" s="772"/>
      <c r="C10" s="772"/>
      <c r="D10" s="538">
        <f>'Updated LFG Model'!K97</f>
        <v>1606.4390576577534</v>
      </c>
      <c r="E10" s="539" t="s">
        <v>115</v>
      </c>
      <c r="F10" s="199"/>
      <c r="G10" s="200"/>
      <c r="H10" s="200"/>
      <c r="I10" s="201"/>
    </row>
    <row r="11" spans="1:9" ht="15" thickTop="1">
      <c r="A11" s="202"/>
      <c r="B11" s="203"/>
      <c r="C11" s="203"/>
      <c r="D11" s="204"/>
      <c r="E11" s="205"/>
      <c r="F11" s="206"/>
      <c r="G11" s="518"/>
      <c r="H11" s="518"/>
      <c r="I11" s="519"/>
    </row>
    <row r="12" spans="1:9" ht="15.75" thickBot="1">
      <c r="A12" s="207" t="s">
        <v>0</v>
      </c>
      <c r="B12" s="208"/>
      <c r="C12" s="208"/>
      <c r="D12" s="209" t="s">
        <v>0</v>
      </c>
      <c r="E12" s="210"/>
      <c r="F12" s="211"/>
      <c r="G12" s="520" t="s">
        <v>212</v>
      </c>
      <c r="H12" s="521" t="s">
        <v>213</v>
      </c>
      <c r="I12" s="522"/>
    </row>
    <row r="13" spans="1:9" ht="17.25" thickTop="1">
      <c r="A13" s="492" t="s">
        <v>7</v>
      </c>
      <c r="B13" s="493" t="s">
        <v>114</v>
      </c>
      <c r="C13" s="493" t="s">
        <v>87</v>
      </c>
      <c r="D13" s="493" t="s">
        <v>40</v>
      </c>
      <c r="E13" s="494" t="s">
        <v>214</v>
      </c>
      <c r="F13" s="494" t="s">
        <v>619</v>
      </c>
      <c r="G13" s="495" t="s">
        <v>39</v>
      </c>
      <c r="H13" s="496" t="s">
        <v>1</v>
      </c>
      <c r="I13" s="497" t="s">
        <v>215</v>
      </c>
    </row>
    <row r="14" spans="1:9" ht="14.25">
      <c r="A14" s="498" t="s">
        <v>10</v>
      </c>
      <c r="B14" s="499" t="s">
        <v>11</v>
      </c>
      <c r="C14" s="499" t="s">
        <v>11</v>
      </c>
      <c r="D14" s="499" t="s">
        <v>41</v>
      </c>
      <c r="E14" s="500">
        <v>133.41999999999999</v>
      </c>
      <c r="F14" s="500">
        <v>0.48</v>
      </c>
      <c r="G14" s="500">
        <v>0</v>
      </c>
      <c r="H14" s="501">
        <f>(($D$10*60)*(F14/1000000*E14)/(0.7302*520))*(1-G14)</f>
        <v>1.6256704309919535E-2</v>
      </c>
      <c r="I14" s="502">
        <f>8760/2000*H14</f>
        <v>7.1204364877447565E-2</v>
      </c>
    </row>
    <row r="15" spans="1:9" ht="14.25">
      <c r="A15" s="498" t="s">
        <v>12</v>
      </c>
      <c r="B15" s="499" t="s">
        <v>11</v>
      </c>
      <c r="C15" s="499" t="s">
        <v>11</v>
      </c>
      <c r="D15" s="499" t="s">
        <v>42</v>
      </c>
      <c r="E15" s="500">
        <v>167.85</v>
      </c>
      <c r="F15" s="500">
        <v>1.1100000000000001</v>
      </c>
      <c r="G15" s="500">
        <v>0</v>
      </c>
      <c r="H15" s="501">
        <f t="shared" ref="H15:H60" si="0">(($D$10*60)*(F15/1000000*E15)/(0.7302*520))*(1-G15)</f>
        <v>4.7294937641254968E-2</v>
      </c>
      <c r="I15" s="502">
        <f>8760/2000*H15</f>
        <v>0.20715182686869676</v>
      </c>
    </row>
    <row r="16" spans="1:9" ht="14.25">
      <c r="A16" s="498" t="s">
        <v>13</v>
      </c>
      <c r="B16" s="499" t="s">
        <v>11</v>
      </c>
      <c r="C16" s="499" t="s">
        <v>11</v>
      </c>
      <c r="D16" s="499" t="s">
        <v>43</v>
      </c>
      <c r="E16" s="500">
        <v>98.95</v>
      </c>
      <c r="F16" s="500">
        <v>2.35</v>
      </c>
      <c r="G16" s="500">
        <v>0</v>
      </c>
      <c r="H16" s="501">
        <f t="shared" si="0"/>
        <v>5.9027446143543646E-2</v>
      </c>
      <c r="I16" s="502">
        <f t="shared" ref="I16:I60" si="1">8760/2000*H16</f>
        <v>0.25854021410872119</v>
      </c>
    </row>
    <row r="17" spans="1:9" ht="14.25">
      <c r="A17" s="498" t="s">
        <v>14</v>
      </c>
      <c r="B17" s="499" t="s">
        <v>11</v>
      </c>
      <c r="C17" s="499" t="s">
        <v>11</v>
      </c>
      <c r="D17" s="499" t="s">
        <v>80</v>
      </c>
      <c r="E17" s="500">
        <v>96.94</v>
      </c>
      <c r="F17" s="500">
        <v>0.20100000000000001</v>
      </c>
      <c r="G17" s="500">
        <v>0</v>
      </c>
      <c r="H17" s="501">
        <f t="shared" si="0"/>
        <v>4.9461741754816182E-3</v>
      </c>
      <c r="I17" s="502">
        <f t="shared" si="1"/>
        <v>2.1664242888609488E-2</v>
      </c>
    </row>
    <row r="18" spans="1:9" ht="14.25">
      <c r="A18" s="498" t="s">
        <v>15</v>
      </c>
      <c r="B18" s="499" t="s">
        <v>11</v>
      </c>
      <c r="C18" s="499" t="s">
        <v>11</v>
      </c>
      <c r="D18" s="499" t="s">
        <v>44</v>
      </c>
      <c r="E18" s="500">
        <v>98.96</v>
      </c>
      <c r="F18" s="500">
        <v>0.40699999999999997</v>
      </c>
      <c r="G18" s="500">
        <v>0</v>
      </c>
      <c r="H18" s="501">
        <f t="shared" si="0"/>
        <v>1.0224084464058085E-2</v>
      </c>
      <c r="I18" s="502">
        <f t="shared" si="1"/>
        <v>4.4781489952574409E-2</v>
      </c>
    </row>
    <row r="19" spans="1:9" ht="14.25">
      <c r="A19" s="498" t="s">
        <v>16</v>
      </c>
      <c r="B19" s="499" t="s">
        <v>11</v>
      </c>
      <c r="C19" s="499" t="s">
        <v>11</v>
      </c>
      <c r="D19" s="499" t="s">
        <v>45</v>
      </c>
      <c r="E19" s="500">
        <v>112.98</v>
      </c>
      <c r="F19" s="500">
        <v>0.18</v>
      </c>
      <c r="G19" s="500">
        <v>0</v>
      </c>
      <c r="H19" s="501">
        <f t="shared" si="0"/>
        <v>5.1623138948472189E-3</v>
      </c>
      <c r="I19" s="502">
        <f t="shared" si="1"/>
        <v>2.2610934859430817E-2</v>
      </c>
    </row>
    <row r="20" spans="1:9" ht="14.25">
      <c r="A20" s="498" t="s">
        <v>216</v>
      </c>
      <c r="B20" s="503"/>
      <c r="C20" s="503"/>
      <c r="D20" s="499" t="s">
        <v>217</v>
      </c>
      <c r="E20" s="500">
        <v>60.11</v>
      </c>
      <c r="F20" s="500">
        <v>50.1</v>
      </c>
      <c r="G20" s="500">
        <v>0</v>
      </c>
      <c r="H20" s="501">
        <f t="shared" si="0"/>
        <v>0.76446003618070268</v>
      </c>
      <c r="I20" s="502">
        <f t="shared" si="1"/>
        <v>3.3483349584714777</v>
      </c>
    </row>
    <row r="21" spans="1:9" ht="14.25">
      <c r="A21" s="504" t="s">
        <v>218</v>
      </c>
      <c r="B21" s="505"/>
      <c r="C21" s="505"/>
      <c r="D21" s="499" t="s">
        <v>219</v>
      </c>
      <c r="E21" s="500">
        <v>58.08</v>
      </c>
      <c r="F21" s="500">
        <v>7.01</v>
      </c>
      <c r="G21" s="500">
        <v>0</v>
      </c>
      <c r="H21" s="501">
        <f t="shared" si="0"/>
        <v>0.10335106552778331</v>
      </c>
      <c r="I21" s="502">
        <f t="shared" si="1"/>
        <v>0.45267766701169088</v>
      </c>
    </row>
    <row r="22" spans="1:9" ht="14.25">
      <c r="A22" s="498" t="s">
        <v>220</v>
      </c>
      <c r="B22" s="499" t="s">
        <v>11</v>
      </c>
      <c r="C22" s="499" t="s">
        <v>11</v>
      </c>
      <c r="D22" s="499" t="s">
        <v>46</v>
      </c>
      <c r="E22" s="500">
        <v>53.06</v>
      </c>
      <c r="F22" s="500">
        <v>6.33</v>
      </c>
      <c r="G22" s="500">
        <v>0</v>
      </c>
      <c r="H22" s="501">
        <f t="shared" si="0"/>
        <v>8.5259206909755747E-2</v>
      </c>
      <c r="I22" s="502">
        <f t="shared" si="1"/>
        <v>0.37343532626473014</v>
      </c>
    </row>
    <row r="23" spans="1:9" ht="14.25">
      <c r="A23" s="504" t="s">
        <v>17</v>
      </c>
      <c r="B23" s="499" t="s">
        <v>11</v>
      </c>
      <c r="C23" s="499" t="s">
        <v>11</v>
      </c>
      <c r="D23" s="499" t="s">
        <v>47</v>
      </c>
      <c r="E23" s="500">
        <v>78.11</v>
      </c>
      <c r="F23" s="499">
        <v>1.91</v>
      </c>
      <c r="G23" s="500">
        <v>0</v>
      </c>
      <c r="H23" s="501">
        <f t="shared" si="0"/>
        <v>3.7871310861492001E-2</v>
      </c>
      <c r="I23" s="502">
        <f t="shared" si="1"/>
        <v>0.16587634157333497</v>
      </c>
    </row>
    <row r="24" spans="1:9" ht="14.25">
      <c r="A24" s="498" t="s">
        <v>221</v>
      </c>
      <c r="B24" s="503"/>
      <c r="C24" s="503"/>
      <c r="D24" s="499" t="s">
        <v>222</v>
      </c>
      <c r="E24" s="500">
        <v>163.83000000000001</v>
      </c>
      <c r="F24" s="500">
        <v>3.13</v>
      </c>
      <c r="G24" s="500">
        <v>0</v>
      </c>
      <c r="H24" s="501">
        <f t="shared" si="0"/>
        <v>0.13016915979620419</v>
      </c>
      <c r="I24" s="502">
        <f t="shared" si="1"/>
        <v>0.57014091990737437</v>
      </c>
    </row>
    <row r="25" spans="1:9" ht="14.25">
      <c r="A25" s="504" t="s">
        <v>223</v>
      </c>
      <c r="B25" s="505"/>
      <c r="C25" s="505"/>
      <c r="D25" s="499" t="s">
        <v>224</v>
      </c>
      <c r="E25" s="500">
        <v>58.12</v>
      </c>
      <c r="F25" s="500">
        <v>5.03</v>
      </c>
      <c r="G25" s="500">
        <v>0</v>
      </c>
      <c r="H25" s="501">
        <f t="shared" si="0"/>
        <v>7.4210254929567551E-2</v>
      </c>
      <c r="I25" s="502">
        <f t="shared" si="1"/>
        <v>0.32504091659150586</v>
      </c>
    </row>
    <row r="26" spans="1:9" ht="14.25">
      <c r="A26" s="498" t="s">
        <v>18</v>
      </c>
      <c r="B26" s="499" t="s">
        <v>11</v>
      </c>
      <c r="C26" s="499"/>
      <c r="D26" s="499" t="s">
        <v>48</v>
      </c>
      <c r="E26" s="500">
        <v>76.13</v>
      </c>
      <c r="F26" s="500">
        <v>0.58299999999999996</v>
      </c>
      <c r="G26" s="500">
        <v>0</v>
      </c>
      <c r="H26" s="501">
        <f t="shared" si="0"/>
        <v>1.1266647775564064E-2</v>
      </c>
      <c r="I26" s="502">
        <f t="shared" si="1"/>
        <v>4.9347917256970596E-2</v>
      </c>
    </row>
    <row r="27" spans="1:9" ht="14.25">
      <c r="A27" s="498" t="s">
        <v>19</v>
      </c>
      <c r="B27" s="499" t="s">
        <v>11</v>
      </c>
      <c r="C27" s="499" t="s">
        <v>11</v>
      </c>
      <c r="D27" s="499" t="s">
        <v>49</v>
      </c>
      <c r="E27" s="506">
        <v>153.84</v>
      </c>
      <c r="F27" s="507">
        <v>4.0000000000000001E-3</v>
      </c>
      <c r="G27" s="500">
        <v>0</v>
      </c>
      <c r="H27" s="501">
        <f t="shared" si="0"/>
        <v>1.562066775994367E-4</v>
      </c>
      <c r="I27" s="502">
        <f t="shared" si="1"/>
        <v>6.8418524788553276E-4</v>
      </c>
    </row>
    <row r="28" spans="1:9" ht="14.25">
      <c r="A28" s="498" t="s">
        <v>20</v>
      </c>
      <c r="B28" s="499" t="s">
        <v>11</v>
      </c>
      <c r="C28" s="499"/>
      <c r="D28" s="499" t="s">
        <v>50</v>
      </c>
      <c r="E28" s="500">
        <v>60.07</v>
      </c>
      <c r="F28" s="500">
        <v>0.49</v>
      </c>
      <c r="G28" s="500">
        <v>0</v>
      </c>
      <c r="H28" s="501">
        <f t="shared" si="0"/>
        <v>7.4717794631843143E-3</v>
      </c>
      <c r="I28" s="502">
        <f t="shared" si="1"/>
        <v>3.2726394048747297E-2</v>
      </c>
    </row>
    <row r="29" spans="1:9" ht="14.25">
      <c r="A29" s="498" t="s">
        <v>225</v>
      </c>
      <c r="B29" s="499" t="s">
        <v>11</v>
      </c>
      <c r="C29" s="499" t="s">
        <v>11</v>
      </c>
      <c r="D29" s="499" t="s">
        <v>51</v>
      </c>
      <c r="E29" s="500">
        <v>112.56</v>
      </c>
      <c r="F29" s="500">
        <v>0.254</v>
      </c>
      <c r="G29" s="500">
        <v>0</v>
      </c>
      <c r="H29" s="501">
        <f t="shared" si="0"/>
        <v>7.2575182042552647E-3</v>
      </c>
      <c r="I29" s="502">
        <f t="shared" si="1"/>
        <v>3.1787929734638058E-2</v>
      </c>
    </row>
    <row r="30" spans="1:9" ht="14.25">
      <c r="A30" s="498" t="s">
        <v>226</v>
      </c>
      <c r="B30" s="503"/>
      <c r="C30" s="503"/>
      <c r="D30" s="499" t="s">
        <v>227</v>
      </c>
      <c r="E30" s="500">
        <v>86.47</v>
      </c>
      <c r="F30" s="500">
        <v>1.3</v>
      </c>
      <c r="G30" s="500">
        <v>0</v>
      </c>
      <c r="H30" s="501">
        <f t="shared" si="0"/>
        <v>2.8535083261229655E-2</v>
      </c>
      <c r="I30" s="502">
        <f t="shared" si="1"/>
        <v>0.12498366468418588</v>
      </c>
    </row>
    <row r="31" spans="1:9" ht="14.25">
      <c r="A31" s="498" t="s">
        <v>21</v>
      </c>
      <c r="B31" s="499" t="s">
        <v>11</v>
      </c>
      <c r="C31" s="499" t="s">
        <v>11</v>
      </c>
      <c r="D31" s="499" t="s">
        <v>52</v>
      </c>
      <c r="E31" s="500">
        <v>64.52</v>
      </c>
      <c r="F31" s="500">
        <v>1.25</v>
      </c>
      <c r="G31" s="500">
        <v>0</v>
      </c>
      <c r="H31" s="501">
        <f t="shared" si="0"/>
        <v>2.047268029835311E-2</v>
      </c>
      <c r="I31" s="502">
        <f t="shared" si="1"/>
        <v>8.9670339706786617E-2</v>
      </c>
    </row>
    <row r="32" spans="1:9" ht="14.25">
      <c r="A32" s="498" t="s">
        <v>228</v>
      </c>
      <c r="B32" s="499" t="s">
        <v>11</v>
      </c>
      <c r="C32" s="499" t="s">
        <v>11</v>
      </c>
      <c r="D32" s="499" t="s">
        <v>53</v>
      </c>
      <c r="E32" s="500">
        <v>119.39</v>
      </c>
      <c r="F32" s="500">
        <v>0.03</v>
      </c>
      <c r="G32" s="500">
        <v>0</v>
      </c>
      <c r="H32" s="501">
        <f t="shared" si="0"/>
        <v>9.0920023589102707E-4</v>
      </c>
      <c r="I32" s="502">
        <f t="shared" si="1"/>
        <v>3.9822970332026985E-3</v>
      </c>
    </row>
    <row r="33" spans="1:9" ht="14.25">
      <c r="A33" s="498" t="s">
        <v>81</v>
      </c>
      <c r="B33" s="499" t="s">
        <v>11</v>
      </c>
      <c r="C33" s="499" t="s">
        <v>11</v>
      </c>
      <c r="D33" s="499" t="s">
        <v>54</v>
      </c>
      <c r="E33" s="500">
        <v>50.49</v>
      </c>
      <c r="F33" s="500">
        <v>1.21</v>
      </c>
      <c r="G33" s="500">
        <v>0</v>
      </c>
      <c r="H33" s="501">
        <f t="shared" si="0"/>
        <v>1.5508188595155075E-2</v>
      </c>
      <c r="I33" s="502">
        <f t="shared" si="1"/>
        <v>6.7925866046779235E-2</v>
      </c>
    </row>
    <row r="34" spans="1:9" ht="14.25">
      <c r="A34" s="498" t="s">
        <v>229</v>
      </c>
      <c r="B34" s="499" t="s">
        <v>11</v>
      </c>
      <c r="C34" s="499" t="s">
        <v>11</v>
      </c>
      <c r="D34" s="499" t="s">
        <v>55</v>
      </c>
      <c r="E34" s="500">
        <v>147</v>
      </c>
      <c r="F34" s="500">
        <v>0.21299999999999999</v>
      </c>
      <c r="G34" s="500">
        <v>0</v>
      </c>
      <c r="H34" s="501">
        <f t="shared" si="0"/>
        <v>7.9481722606538664E-3</v>
      </c>
      <c r="I34" s="502">
        <f t="shared" si="1"/>
        <v>3.4812994501663933E-2</v>
      </c>
    </row>
    <row r="35" spans="1:9" ht="14.25">
      <c r="A35" s="504" t="s">
        <v>230</v>
      </c>
      <c r="B35" s="505"/>
      <c r="C35" s="505"/>
      <c r="D35" s="499" t="s">
        <v>231</v>
      </c>
      <c r="E35" s="500">
        <v>120.91</v>
      </c>
      <c r="F35" s="500">
        <v>15.7</v>
      </c>
      <c r="G35" s="500">
        <v>0</v>
      </c>
      <c r="H35" s="501">
        <f t="shared" si="0"/>
        <v>0.48187257117817517</v>
      </c>
      <c r="I35" s="502">
        <f t="shared" si="1"/>
        <v>2.110601861760407</v>
      </c>
    </row>
    <row r="36" spans="1:9" ht="14.25">
      <c r="A36" s="498" t="s">
        <v>232</v>
      </c>
      <c r="B36" s="503"/>
      <c r="C36" s="503"/>
      <c r="D36" s="499" t="s">
        <v>233</v>
      </c>
      <c r="E36" s="500">
        <v>102.92</v>
      </c>
      <c r="F36" s="500">
        <v>2.62</v>
      </c>
      <c r="G36" s="500">
        <v>0</v>
      </c>
      <c r="H36" s="501">
        <f t="shared" si="0"/>
        <v>6.8449676770279425E-2</v>
      </c>
      <c r="I36" s="502">
        <f t="shared" si="1"/>
        <v>0.29980958425382387</v>
      </c>
    </row>
    <row r="37" spans="1:9" ht="14.25">
      <c r="A37" s="498" t="s">
        <v>22</v>
      </c>
      <c r="B37" s="499" t="s">
        <v>11</v>
      </c>
      <c r="C37" s="499" t="s">
        <v>11</v>
      </c>
      <c r="D37" s="499" t="s">
        <v>56</v>
      </c>
      <c r="E37" s="500">
        <v>84.94</v>
      </c>
      <c r="F37" s="500">
        <v>14.3</v>
      </c>
      <c r="G37" s="500">
        <v>0</v>
      </c>
      <c r="H37" s="501">
        <f t="shared" si="0"/>
        <v>0.30833201913145963</v>
      </c>
      <c r="I37" s="502">
        <f t="shared" si="1"/>
        <v>1.3504942437957932</v>
      </c>
    </row>
    <row r="38" spans="1:9" ht="14.25">
      <c r="A38" s="498" t="s">
        <v>23</v>
      </c>
      <c r="B38" s="503"/>
      <c r="C38" s="503"/>
      <c r="D38" s="499" t="s">
        <v>57</v>
      </c>
      <c r="E38" s="500">
        <v>62.13</v>
      </c>
      <c r="F38" s="500">
        <v>7.82</v>
      </c>
      <c r="G38" s="500">
        <v>0</v>
      </c>
      <c r="H38" s="501">
        <f t="shared" si="0"/>
        <v>0.12333275688338287</v>
      </c>
      <c r="I38" s="502">
        <f t="shared" si="1"/>
        <v>0.5401974751492169</v>
      </c>
    </row>
    <row r="39" spans="1:9" ht="14.25">
      <c r="A39" s="504" t="s">
        <v>234</v>
      </c>
      <c r="B39" s="505"/>
      <c r="C39" s="505"/>
      <c r="D39" s="499" t="s">
        <v>235</v>
      </c>
      <c r="E39" s="500">
        <v>30.07</v>
      </c>
      <c r="F39" s="508">
        <v>889</v>
      </c>
      <c r="G39" s="500">
        <v>0</v>
      </c>
      <c r="H39" s="501">
        <f t="shared" si="0"/>
        <v>6.7858697886180295</v>
      </c>
      <c r="I39" s="502">
        <f t="shared" si="1"/>
        <v>29.722109674146967</v>
      </c>
    </row>
    <row r="40" spans="1:9" ht="14.25">
      <c r="A40" s="504" t="s">
        <v>236</v>
      </c>
      <c r="B40" s="505"/>
      <c r="C40" s="505"/>
      <c r="D40" s="499" t="s">
        <v>237</v>
      </c>
      <c r="E40" s="500">
        <v>46.08</v>
      </c>
      <c r="F40" s="500">
        <v>27.2</v>
      </c>
      <c r="G40" s="500">
        <v>0</v>
      </c>
      <c r="H40" s="501">
        <f t="shared" si="0"/>
        <v>0.31816449028677779</v>
      </c>
      <c r="I40" s="502">
        <f t="shared" si="1"/>
        <v>1.3935604674560866</v>
      </c>
    </row>
    <row r="41" spans="1:9" ht="14.25">
      <c r="A41" s="498" t="s">
        <v>24</v>
      </c>
      <c r="B41" s="503"/>
      <c r="C41" s="503"/>
      <c r="D41" s="499" t="s">
        <v>58</v>
      </c>
      <c r="E41" s="500">
        <v>62.13</v>
      </c>
      <c r="F41" s="500">
        <v>2.2799999999999998</v>
      </c>
      <c r="G41" s="500">
        <v>0</v>
      </c>
      <c r="H41" s="501">
        <f t="shared" si="0"/>
        <v>3.5958911214080937E-2</v>
      </c>
      <c r="I41" s="502">
        <f t="shared" si="1"/>
        <v>0.15750003111767449</v>
      </c>
    </row>
    <row r="42" spans="1:9" ht="14.25">
      <c r="A42" s="498" t="s">
        <v>238</v>
      </c>
      <c r="B42" s="499" t="s">
        <v>11</v>
      </c>
      <c r="C42" s="499" t="s">
        <v>11</v>
      </c>
      <c r="D42" s="499" t="s">
        <v>59</v>
      </c>
      <c r="E42" s="500">
        <v>106.16</v>
      </c>
      <c r="F42" s="500">
        <v>4.6100000000000003</v>
      </c>
      <c r="G42" s="500">
        <v>0</v>
      </c>
      <c r="H42" s="501">
        <f t="shared" si="0"/>
        <v>0.12423162558687288</v>
      </c>
      <c r="I42" s="502">
        <f t="shared" si="1"/>
        <v>0.54413452007050322</v>
      </c>
    </row>
    <row r="43" spans="1:9" ht="14.25">
      <c r="A43" s="504" t="s">
        <v>239</v>
      </c>
      <c r="B43" s="499" t="s">
        <v>11</v>
      </c>
      <c r="C43" s="499" t="s">
        <v>11</v>
      </c>
      <c r="D43" s="499" t="s">
        <v>60</v>
      </c>
      <c r="E43" s="500">
        <v>187.88</v>
      </c>
      <c r="F43" s="507">
        <v>1E-3</v>
      </c>
      <c r="G43" s="500">
        <v>0</v>
      </c>
      <c r="H43" s="501">
        <f t="shared" si="0"/>
        <v>4.7692587407992348E-5</v>
      </c>
      <c r="I43" s="502">
        <f t="shared" si="1"/>
        <v>2.0889353284700649E-4</v>
      </c>
    </row>
    <row r="44" spans="1:9" ht="14.25">
      <c r="A44" s="504" t="s">
        <v>240</v>
      </c>
      <c r="B44" s="505"/>
      <c r="C44" s="505"/>
      <c r="D44" s="499" t="s">
        <v>241</v>
      </c>
      <c r="E44" s="500">
        <v>137.38</v>
      </c>
      <c r="F44" s="500">
        <v>0.76</v>
      </c>
      <c r="G44" s="500">
        <v>0</v>
      </c>
      <c r="H44" s="501">
        <f t="shared" si="0"/>
        <v>2.6503756760504531E-2</v>
      </c>
      <c r="I44" s="502">
        <f t="shared" si="1"/>
        <v>0.11608645461100985</v>
      </c>
    </row>
    <row r="45" spans="1:9" ht="14.25">
      <c r="A45" s="498" t="s">
        <v>25</v>
      </c>
      <c r="B45" s="499" t="s">
        <v>11</v>
      </c>
      <c r="C45" s="499" t="s">
        <v>11</v>
      </c>
      <c r="D45" s="499" t="s">
        <v>61</v>
      </c>
      <c r="E45" s="500">
        <v>86.18</v>
      </c>
      <c r="F45" s="500">
        <v>6.57</v>
      </c>
      <c r="G45" s="500">
        <v>0</v>
      </c>
      <c r="H45" s="501">
        <f t="shared" si="0"/>
        <v>0.14372826799623445</v>
      </c>
      <c r="I45" s="502">
        <f t="shared" si="1"/>
        <v>0.62952981382350692</v>
      </c>
    </row>
    <row r="46" spans="1:9" ht="14.25">
      <c r="A46" s="498" t="s">
        <v>26</v>
      </c>
      <c r="B46" s="503"/>
      <c r="C46" s="503"/>
      <c r="D46" s="509" t="s">
        <v>62</v>
      </c>
      <c r="E46" s="500">
        <v>34.08</v>
      </c>
      <c r="F46" s="500">
        <v>35.5</v>
      </c>
      <c r="G46" s="500">
        <v>0</v>
      </c>
      <c r="H46" s="501">
        <f t="shared" si="0"/>
        <v>0.30711305061574118</v>
      </c>
      <c r="I46" s="502">
        <f t="shared" si="1"/>
        <v>1.3451551616969464</v>
      </c>
    </row>
    <row r="47" spans="1:9" ht="14.25">
      <c r="A47" s="498" t="s">
        <v>27</v>
      </c>
      <c r="B47" s="499" t="s">
        <v>11</v>
      </c>
      <c r="C47" s="499"/>
      <c r="D47" s="499" t="s">
        <v>63</v>
      </c>
      <c r="E47" s="500">
        <v>200.61</v>
      </c>
      <c r="F47" s="510">
        <v>2.92E-4</v>
      </c>
      <c r="G47" s="500">
        <v>0</v>
      </c>
      <c r="H47" s="501">
        <f t="shared" si="0"/>
        <v>1.4869821738853867E-5</v>
      </c>
      <c r="I47" s="502">
        <f t="shared" si="1"/>
        <v>6.5129819216179938E-5</v>
      </c>
    </row>
    <row r="48" spans="1:9" ht="14.25">
      <c r="A48" s="498" t="s">
        <v>82</v>
      </c>
      <c r="B48" s="499" t="s">
        <v>11</v>
      </c>
      <c r="C48" s="499" t="s">
        <v>11</v>
      </c>
      <c r="D48" s="499" t="s">
        <v>64</v>
      </c>
      <c r="E48" s="500">
        <v>72.11</v>
      </c>
      <c r="F48" s="500">
        <v>7.09</v>
      </c>
      <c r="G48" s="500">
        <v>0</v>
      </c>
      <c r="H48" s="501">
        <f t="shared" si="0"/>
        <v>0.12978128310065692</v>
      </c>
      <c r="I48" s="502">
        <f t="shared" si="1"/>
        <v>0.56844201998087729</v>
      </c>
    </row>
    <row r="49" spans="1:9" ht="14.25">
      <c r="A49" s="498" t="s">
        <v>83</v>
      </c>
      <c r="B49" s="499" t="s">
        <v>11</v>
      </c>
      <c r="C49" s="499" t="s">
        <v>11</v>
      </c>
      <c r="D49" s="499" t="s">
        <v>65</v>
      </c>
      <c r="E49" s="500">
        <v>100.16</v>
      </c>
      <c r="F49" s="500">
        <v>1.87</v>
      </c>
      <c r="G49" s="500">
        <v>0</v>
      </c>
      <c r="H49" s="501">
        <f t="shared" si="0"/>
        <v>4.7545153648323603E-2</v>
      </c>
      <c r="I49" s="502">
        <f t="shared" si="1"/>
        <v>0.20824777297965738</v>
      </c>
    </row>
    <row r="50" spans="1:9" ht="14.25">
      <c r="A50" s="504" t="s">
        <v>28</v>
      </c>
      <c r="B50" s="505"/>
      <c r="C50" s="505"/>
      <c r="D50" s="499" t="s">
        <v>66</v>
      </c>
      <c r="E50" s="500">
        <v>48.11</v>
      </c>
      <c r="F50" s="500">
        <v>2.4900000000000002</v>
      </c>
      <c r="G50" s="500">
        <v>0</v>
      </c>
      <c r="H50" s="501">
        <f t="shared" si="0"/>
        <v>3.0409202931095884E-2</v>
      </c>
      <c r="I50" s="502">
        <f t="shared" si="1"/>
        <v>0.13319230883819996</v>
      </c>
    </row>
    <row r="51" spans="1:9" ht="14.25">
      <c r="A51" s="504" t="s">
        <v>242</v>
      </c>
      <c r="B51" s="505"/>
      <c r="C51" s="505"/>
      <c r="D51" s="499" t="s">
        <v>243</v>
      </c>
      <c r="E51" s="500">
        <v>72.150000000000006</v>
      </c>
      <c r="F51" s="500">
        <v>3.29</v>
      </c>
      <c r="G51" s="500">
        <v>0</v>
      </c>
      <c r="H51" s="501">
        <f t="shared" si="0"/>
        <v>6.0256314653454712E-2</v>
      </c>
      <c r="I51" s="502">
        <f t="shared" si="1"/>
        <v>0.26392265818213162</v>
      </c>
    </row>
    <row r="52" spans="1:9" ht="14.25">
      <c r="A52" s="498" t="s">
        <v>244</v>
      </c>
      <c r="B52" s="499" t="s">
        <v>11</v>
      </c>
      <c r="C52" s="499" t="s">
        <v>11</v>
      </c>
      <c r="D52" s="499" t="s">
        <v>67</v>
      </c>
      <c r="E52" s="500">
        <v>165.83</v>
      </c>
      <c r="F52" s="500">
        <v>3.73</v>
      </c>
      <c r="G52" s="500">
        <v>0</v>
      </c>
      <c r="H52" s="501">
        <f t="shared" si="0"/>
        <v>0.15701540558657279</v>
      </c>
      <c r="I52" s="502">
        <f t="shared" si="1"/>
        <v>0.68772747646918875</v>
      </c>
    </row>
    <row r="53" spans="1:9" ht="14.25">
      <c r="A53" s="504" t="s">
        <v>245</v>
      </c>
      <c r="B53" s="505"/>
      <c r="C53" s="505"/>
      <c r="D53" s="499" t="s">
        <v>246</v>
      </c>
      <c r="E53" s="500">
        <v>44.09</v>
      </c>
      <c r="F53" s="500">
        <v>11.1</v>
      </c>
      <c r="G53" s="500">
        <v>0</v>
      </c>
      <c r="H53" s="501">
        <f t="shared" si="0"/>
        <v>0.1242319809712798</v>
      </c>
      <c r="I53" s="502">
        <f t="shared" si="1"/>
        <v>0.54413607665420549</v>
      </c>
    </row>
    <row r="54" spans="1:9" ht="14.25">
      <c r="A54" s="498" t="s">
        <v>247</v>
      </c>
      <c r="B54" s="503"/>
      <c r="C54" s="503"/>
      <c r="D54" s="499" t="s">
        <v>248</v>
      </c>
      <c r="E54" s="506">
        <v>96.94</v>
      </c>
      <c r="F54" s="500">
        <v>2.84</v>
      </c>
      <c r="G54" s="500">
        <v>0</v>
      </c>
      <c r="H54" s="501">
        <f t="shared" si="0"/>
        <v>6.9886242081431807E-2</v>
      </c>
      <c r="I54" s="502">
        <f t="shared" si="1"/>
        <v>0.30610174031667131</v>
      </c>
    </row>
    <row r="55" spans="1:9" ht="15">
      <c r="A55" s="545" t="s">
        <v>249</v>
      </c>
      <c r="B55" s="546" t="s">
        <v>11</v>
      </c>
      <c r="C55" s="546" t="s">
        <v>11</v>
      </c>
      <c r="D55" s="546" t="s">
        <v>68</v>
      </c>
      <c r="E55" s="547">
        <v>92.13</v>
      </c>
      <c r="F55" s="548">
        <v>39.299999999999997</v>
      </c>
      <c r="G55" s="548">
        <v>0</v>
      </c>
      <c r="H55" s="549">
        <f t="shared" si="0"/>
        <v>0.91910251469770354</v>
      </c>
      <c r="I55" s="544">
        <f t="shared" si="1"/>
        <v>4.025669014375941</v>
      </c>
    </row>
    <row r="56" spans="1:9" ht="14.25">
      <c r="A56" s="498" t="s">
        <v>29</v>
      </c>
      <c r="B56" s="499" t="s">
        <v>11</v>
      </c>
      <c r="C56" s="499" t="s">
        <v>11</v>
      </c>
      <c r="D56" s="499" t="s">
        <v>69</v>
      </c>
      <c r="E56" s="500">
        <v>131.38</v>
      </c>
      <c r="F56" s="500">
        <v>2.82</v>
      </c>
      <c r="G56" s="500">
        <v>0</v>
      </c>
      <c r="H56" s="501">
        <f t="shared" si="0"/>
        <v>9.4047812523562563E-2</v>
      </c>
      <c r="I56" s="502">
        <f t="shared" si="1"/>
        <v>0.411929418853204</v>
      </c>
    </row>
    <row r="57" spans="1:9" ht="14.25">
      <c r="A57" s="498" t="s">
        <v>250</v>
      </c>
      <c r="B57" s="499" t="s">
        <v>11</v>
      </c>
      <c r="C57" s="499" t="s">
        <v>11</v>
      </c>
      <c r="D57" s="499" t="s">
        <v>70</v>
      </c>
      <c r="E57" s="500">
        <v>62.5</v>
      </c>
      <c r="F57" s="500">
        <v>7.34</v>
      </c>
      <c r="G57" s="500">
        <v>0</v>
      </c>
      <c r="H57" s="501">
        <f t="shared" si="0"/>
        <v>0.11645185476589573</v>
      </c>
      <c r="I57" s="502">
        <f t="shared" si="1"/>
        <v>0.51005912387462327</v>
      </c>
    </row>
    <row r="58" spans="1:9" ht="14.25">
      <c r="A58" s="498" t="s">
        <v>251</v>
      </c>
      <c r="B58" s="499" t="s">
        <v>11</v>
      </c>
      <c r="C58" s="499" t="s">
        <v>11</v>
      </c>
      <c r="D58" s="499" t="s">
        <v>71</v>
      </c>
      <c r="E58" s="500">
        <v>106.16</v>
      </c>
      <c r="F58" s="500">
        <v>12.1</v>
      </c>
      <c r="G58" s="500">
        <v>0</v>
      </c>
      <c r="H58" s="501">
        <f t="shared" si="0"/>
        <v>0.32607433180068585</v>
      </c>
      <c r="I58" s="502">
        <f t="shared" si="1"/>
        <v>1.428205573287004</v>
      </c>
    </row>
    <row r="59" spans="1:9" ht="15">
      <c r="A59" s="525" t="s">
        <v>72</v>
      </c>
      <c r="B59" s="526" t="s">
        <v>0</v>
      </c>
      <c r="C59" s="526"/>
      <c r="D59" s="526" t="s">
        <v>0</v>
      </c>
      <c r="E59" s="527">
        <v>86.18</v>
      </c>
      <c r="F59" s="528">
        <v>595</v>
      </c>
      <c r="G59" s="529">
        <v>0</v>
      </c>
      <c r="H59" s="523">
        <f t="shared" si="0"/>
        <v>13.01648697987207</v>
      </c>
      <c r="I59" s="524">
        <f t="shared" si="1"/>
        <v>57.012212971839666</v>
      </c>
    </row>
    <row r="60" spans="1:9" ht="15.75" thickBot="1">
      <c r="A60" s="530" t="s">
        <v>87</v>
      </c>
      <c r="B60" s="531"/>
      <c r="C60" s="532"/>
      <c r="D60" s="533" t="s">
        <v>0</v>
      </c>
      <c r="E60" s="534">
        <v>86.18</v>
      </c>
      <c r="F60" s="535">
        <f>F59*0.39</f>
        <v>232.05</v>
      </c>
      <c r="G60" s="534">
        <v>0</v>
      </c>
      <c r="H60" s="523">
        <f t="shared" si="0"/>
        <v>5.0764299221501066</v>
      </c>
      <c r="I60" s="524">
        <f t="shared" si="1"/>
        <v>22.234763059017467</v>
      </c>
    </row>
    <row r="61" spans="1:9" ht="18" thickTop="1">
      <c r="A61" s="551" t="s">
        <v>620</v>
      </c>
      <c r="B61" s="540"/>
      <c r="C61" s="540"/>
      <c r="D61" s="541"/>
      <c r="E61" s="542"/>
      <c r="F61" s="542"/>
      <c r="G61" s="543"/>
      <c r="H61" s="550">
        <f>SUMIF(B14:B60,"x",H14:H60)</f>
        <v>2.7034054031581238</v>
      </c>
      <c r="I61" s="559">
        <f>SUMIF(C14:C60,"x",I14:I60)</f>
        <v>11.758776224707645</v>
      </c>
    </row>
    <row r="62" spans="1:9" ht="15">
      <c r="A62" s="552" t="s">
        <v>252</v>
      </c>
      <c r="B62" s="553"/>
      <c r="C62" s="553"/>
      <c r="D62" s="554"/>
      <c r="E62" s="555"/>
      <c r="F62" s="555"/>
      <c r="G62" s="556"/>
      <c r="H62" s="557">
        <f>H55</f>
        <v>0.91910251469770354</v>
      </c>
      <c r="I62" s="558">
        <f>I55</f>
        <v>4.025669014375941</v>
      </c>
    </row>
    <row r="63" spans="1:9" ht="14.25">
      <c r="A63" s="511"/>
      <c r="B63" s="512"/>
      <c r="C63" s="512"/>
      <c r="D63" s="513"/>
      <c r="E63" s="514"/>
      <c r="F63" s="514" t="s">
        <v>0</v>
      </c>
      <c r="G63" s="515"/>
      <c r="H63" s="516" t="s">
        <v>0</v>
      </c>
      <c r="I63" s="517"/>
    </row>
    <row r="64" spans="1:9">
      <c r="A64" s="212" t="s">
        <v>253</v>
      </c>
      <c r="B64" s="212"/>
      <c r="C64" s="212"/>
      <c r="D64" s="213"/>
      <c r="E64" s="214"/>
      <c r="F64" s="199" t="s">
        <v>0</v>
      </c>
      <c r="G64" s="200"/>
      <c r="H64" s="200"/>
      <c r="I64" s="201"/>
    </row>
    <row r="65" spans="1:9">
      <c r="A65" s="212" t="s">
        <v>254</v>
      </c>
      <c r="B65" s="212"/>
      <c r="C65" s="212"/>
      <c r="D65" s="215"/>
      <c r="E65" s="214"/>
      <c r="F65" s="199"/>
      <c r="G65" s="200"/>
      <c r="H65" s="200"/>
      <c r="I65" s="201"/>
    </row>
    <row r="66" spans="1:9" ht="13.5">
      <c r="A66" s="212" t="s">
        <v>328</v>
      </c>
      <c r="B66" s="212"/>
      <c r="C66" s="212"/>
      <c r="D66" s="216"/>
      <c r="E66" s="214"/>
      <c r="F66" s="199"/>
      <c r="G66" s="200"/>
      <c r="H66" s="200"/>
      <c r="I66" s="201"/>
    </row>
    <row r="67" spans="1:9">
      <c r="A67" s="223" t="s">
        <v>339</v>
      </c>
    </row>
    <row r="70" spans="1:9">
      <c r="A70" s="773"/>
      <c r="B70" s="773"/>
      <c r="C70" s="773"/>
      <c r="D70" s="773"/>
      <c r="E70" s="773"/>
      <c r="F70" s="773"/>
      <c r="G70" s="773"/>
    </row>
    <row r="71" spans="1:9">
      <c r="A71" s="773"/>
      <c r="B71" s="773"/>
      <c r="C71" s="773"/>
      <c r="D71" s="773"/>
      <c r="E71" s="773"/>
      <c r="F71" s="773"/>
      <c r="G71" s="773"/>
    </row>
    <row r="72" spans="1:9">
      <c r="A72" s="773"/>
      <c r="B72" s="773"/>
      <c r="C72" s="773"/>
      <c r="D72" s="773"/>
      <c r="E72" s="773"/>
      <c r="F72" s="773"/>
      <c r="G72" s="773"/>
    </row>
  </sheetData>
  <mergeCells count="2">
    <mergeCell ref="A10:C10"/>
    <mergeCell ref="A70:G72"/>
  </mergeCells>
  <phoneticPr fontId="22" type="noConversion"/>
  <pageMargins left="0.75" right="0.75" top="1" bottom="1" header="0.5" footer="0.5"/>
  <pageSetup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6428-7C21-406D-B599-30D87007C2C2}">
  <dimension ref="A1:M44"/>
  <sheetViews>
    <sheetView tabSelected="1" topLeftCell="A28" zoomScale="120" zoomScaleNormal="120" workbookViewId="0">
      <selection activeCell="E8" sqref="E8"/>
    </sheetView>
  </sheetViews>
  <sheetFormatPr defaultRowHeight="12.75"/>
  <cols>
    <col min="1" max="1" width="11.7109375" customWidth="1"/>
    <col min="2" max="2" width="13.140625" customWidth="1"/>
    <col min="4" max="4" width="12.5703125" customWidth="1"/>
    <col min="5" max="5" width="13.140625" customWidth="1"/>
  </cols>
  <sheetData>
    <row r="1" spans="1:13">
      <c r="E1" s="171" t="s">
        <v>617</v>
      </c>
      <c r="F1" s="159"/>
      <c r="I1" s="159"/>
    </row>
    <row r="2" spans="1:13">
      <c r="F2" s="159"/>
      <c r="G2" s="171"/>
      <c r="H2" s="171"/>
      <c r="I2" s="159"/>
    </row>
    <row r="3" spans="1:13" ht="15">
      <c r="E3" s="172" t="s">
        <v>304</v>
      </c>
      <c r="G3" s="172"/>
      <c r="H3" s="172"/>
      <c r="I3" s="173"/>
    </row>
    <row r="4" spans="1:13">
      <c r="F4" s="159"/>
      <c r="G4" s="171"/>
      <c r="H4" s="171"/>
      <c r="I4" s="159"/>
    </row>
    <row r="5" spans="1:13">
      <c r="D5" s="174" t="s">
        <v>189</v>
      </c>
      <c r="E5" t="s">
        <v>207</v>
      </c>
    </row>
    <row r="6" spans="1:13">
      <c r="D6" s="174" t="s">
        <v>190</v>
      </c>
      <c r="E6" t="s">
        <v>208</v>
      </c>
    </row>
    <row r="7" spans="1:13">
      <c r="D7" s="174" t="s">
        <v>305</v>
      </c>
      <c r="E7" t="s">
        <v>309</v>
      </c>
    </row>
    <row r="8" spans="1:13">
      <c r="D8" s="174" t="s">
        <v>191</v>
      </c>
      <c r="E8" s="438" t="s">
        <v>718</v>
      </c>
    </row>
    <row r="9" spans="1:13">
      <c r="D9" s="174"/>
      <c r="E9" s="175"/>
    </row>
    <row r="10" spans="1:13" ht="15.75">
      <c r="A10" s="280" t="s">
        <v>256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</row>
    <row r="11" spans="1:13" ht="15">
      <c r="A11" s="614">
        <v>7000</v>
      </c>
      <c r="B11" s="250" t="s">
        <v>586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</row>
    <row r="12" spans="1:13" ht="15">
      <c r="A12" s="250">
        <v>0.25</v>
      </c>
      <c r="B12" s="615" t="s">
        <v>476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</row>
    <row r="13" spans="1:13" ht="15">
      <c r="A13" s="250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</row>
    <row r="14" spans="1:13" ht="15.75">
      <c r="A14" s="281" t="s">
        <v>272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</row>
    <row r="15" spans="1:13" ht="15">
      <c r="A15" s="250" t="s">
        <v>470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</row>
    <row r="16" spans="1:13" ht="15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</row>
    <row r="17" spans="1:13" ht="15">
      <c r="A17" s="616" t="s">
        <v>273</v>
      </c>
      <c r="B17" s="774" t="s">
        <v>274</v>
      </c>
      <c r="C17" s="774"/>
      <c r="D17" s="774"/>
      <c r="E17" s="774"/>
      <c r="F17" s="250"/>
      <c r="G17" s="250"/>
      <c r="H17" s="250"/>
      <c r="I17" s="250"/>
      <c r="J17" s="250"/>
      <c r="K17" s="250"/>
      <c r="L17" s="250"/>
      <c r="M17" s="250"/>
    </row>
    <row r="18" spans="1:13" ht="15">
      <c r="A18" s="617" t="s">
        <v>257</v>
      </c>
      <c r="B18" s="618">
        <f>B21*(B23/12)^B24*(B27/3)^B26*(365-B29)/365</f>
        <v>4.8262434399715497</v>
      </c>
      <c r="C18" s="250" t="s">
        <v>258</v>
      </c>
      <c r="D18" s="250"/>
      <c r="E18" s="618">
        <f>B21*(B23/12)^B24*(B28/3)^B26*(365-B29)/365</f>
        <v>7.4190317712758977</v>
      </c>
      <c r="F18" s="250" t="s">
        <v>259</v>
      </c>
      <c r="G18" s="250"/>
      <c r="H18" s="250"/>
      <c r="I18" s="250"/>
      <c r="J18" s="250"/>
      <c r="K18" s="250"/>
      <c r="L18" s="250"/>
      <c r="M18" s="250"/>
    </row>
    <row r="19" spans="1:13" ht="15">
      <c r="A19" s="617"/>
      <c r="B19" s="618">
        <f>B22*(B23/12)^B25*(B27/3)^B26*(365-B29)/365</f>
        <v>1.302879194464144</v>
      </c>
      <c r="C19" s="250" t="s">
        <v>260</v>
      </c>
      <c r="D19" s="250"/>
      <c r="E19" s="618">
        <f>B22*(B23/12)^B25*(B28/3)^B26*(365-B29)/365</f>
        <v>2.0028210880967938</v>
      </c>
      <c r="F19" s="250" t="s">
        <v>261</v>
      </c>
      <c r="G19" s="250"/>
      <c r="H19" s="250"/>
      <c r="I19" s="250"/>
      <c r="J19" s="250"/>
      <c r="K19" s="614"/>
      <c r="L19" s="250"/>
      <c r="M19" s="250"/>
    </row>
    <row r="20" spans="1:13" ht="15">
      <c r="A20" s="250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</row>
    <row r="21" spans="1:13" ht="15">
      <c r="A21" s="617" t="s">
        <v>262</v>
      </c>
      <c r="B21" s="250">
        <v>4.9000000000000004</v>
      </c>
      <c r="C21" s="615" t="s">
        <v>473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</row>
    <row r="22" spans="1:13" ht="15">
      <c r="A22" s="617" t="s">
        <v>257</v>
      </c>
      <c r="B22" s="250">
        <v>1.5</v>
      </c>
      <c r="C22" s="615" t="s">
        <v>474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</row>
    <row r="23" spans="1:13" ht="15">
      <c r="A23" s="616" t="s">
        <v>275</v>
      </c>
      <c r="B23" s="250">
        <v>6.4</v>
      </c>
      <c r="C23" s="619" t="s">
        <v>276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</row>
    <row r="24" spans="1:13" ht="15">
      <c r="A24" s="616" t="s">
        <v>277</v>
      </c>
      <c r="B24" s="250">
        <v>0.7</v>
      </c>
      <c r="C24" s="619" t="s">
        <v>278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</row>
    <row r="25" spans="1:13" ht="15">
      <c r="A25" s="617" t="s">
        <v>257</v>
      </c>
      <c r="B25" s="250">
        <v>0.9</v>
      </c>
      <c r="C25" s="619" t="s">
        <v>279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</row>
    <row r="26" spans="1:13" ht="15">
      <c r="A26" s="616" t="s">
        <v>280</v>
      </c>
      <c r="B26" s="250">
        <v>0.45</v>
      </c>
      <c r="C26" s="619" t="s">
        <v>281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</row>
    <row r="27" spans="1:13" ht="15">
      <c r="A27" s="616" t="s">
        <v>263</v>
      </c>
      <c r="B27" s="250">
        <v>25</v>
      </c>
      <c r="C27" s="250" t="s">
        <v>588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</row>
    <row r="28" spans="1:13" ht="15">
      <c r="A28" s="616" t="s">
        <v>263</v>
      </c>
      <c r="B28" s="250">
        <v>65</v>
      </c>
      <c r="C28" s="250" t="s">
        <v>587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</row>
    <row r="29" spans="1:13" ht="15">
      <c r="A29" s="616" t="s">
        <v>264</v>
      </c>
      <c r="B29" s="250">
        <v>150</v>
      </c>
      <c r="C29" s="619" t="s">
        <v>265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</row>
    <row r="30" spans="1:13" ht="15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</row>
    <row r="31" spans="1:13" ht="15">
      <c r="A31" s="250" t="s">
        <v>335</v>
      </c>
      <c r="B31" s="250"/>
      <c r="C31" s="250"/>
      <c r="D31" s="250"/>
      <c r="E31" s="250"/>
      <c r="F31" s="614">
        <f>A11*A12</f>
        <v>1750</v>
      </c>
      <c r="G31" s="250" t="s">
        <v>266</v>
      </c>
      <c r="H31" s="250"/>
      <c r="I31" s="250"/>
      <c r="J31" s="250"/>
      <c r="K31" s="250"/>
      <c r="L31" s="250"/>
      <c r="M31" s="250"/>
    </row>
    <row r="32" spans="1:13" ht="1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  <row r="33" spans="1:13" ht="15">
      <c r="A33" s="250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</row>
    <row r="34" spans="1:13" ht="15">
      <c r="A34" s="617" t="s">
        <v>267</v>
      </c>
      <c r="B34" s="621">
        <f>(F31)*B18/2000</f>
        <v>4.2229630099751061</v>
      </c>
      <c r="C34" s="250" t="s">
        <v>282</v>
      </c>
      <c r="D34" s="250"/>
      <c r="E34" s="621">
        <f>(F31)*E18/2000</f>
        <v>6.4916527998664106</v>
      </c>
      <c r="F34" s="250" t="s">
        <v>283</v>
      </c>
      <c r="G34" s="250"/>
      <c r="H34" s="621">
        <f>SUM(B34,E34)</f>
        <v>10.714615809841517</v>
      </c>
      <c r="I34" s="250" t="s">
        <v>271</v>
      </c>
      <c r="J34" s="250"/>
      <c r="K34" s="250"/>
      <c r="L34" s="250"/>
      <c r="M34" s="250"/>
    </row>
    <row r="35" spans="1:13" ht="15">
      <c r="A35" s="617" t="s">
        <v>268</v>
      </c>
      <c r="B35" s="621">
        <f>(F31)*B19/2000</f>
        <v>1.1400192951561259</v>
      </c>
      <c r="C35" s="250" t="s">
        <v>282</v>
      </c>
      <c r="D35" s="250"/>
      <c r="E35" s="621">
        <f>(F31)*E19/2000</f>
        <v>1.7524684520846945</v>
      </c>
      <c r="F35" s="250" t="s">
        <v>283</v>
      </c>
      <c r="G35" s="250"/>
      <c r="H35" s="621">
        <f>SUM(B35,E35)</f>
        <v>2.8924877472408204</v>
      </c>
      <c r="I35" s="250" t="s">
        <v>271</v>
      </c>
      <c r="J35" s="250"/>
      <c r="K35" s="250"/>
      <c r="L35" s="250"/>
      <c r="M35" s="250"/>
    </row>
    <row r="36" spans="1:13" ht="15">
      <c r="A36" s="617"/>
      <c r="B36" s="621"/>
      <c r="C36" s="250"/>
      <c r="D36" s="623"/>
      <c r="E36" s="250"/>
      <c r="F36" s="250"/>
      <c r="G36" s="623"/>
      <c r="H36" s="250"/>
      <c r="I36" s="250"/>
      <c r="J36" s="250"/>
      <c r="K36" s="250"/>
      <c r="L36" s="250"/>
      <c r="M36" s="250"/>
    </row>
    <row r="37" spans="1:13" ht="15">
      <c r="A37" s="250" t="s">
        <v>284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</row>
    <row r="38" spans="1:13" ht="15">
      <c r="A38" s="250" t="s">
        <v>285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</row>
    <row r="39" spans="1:13" ht="15">
      <c r="A39" s="250" t="s">
        <v>717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</row>
    <row r="40" spans="1:13" ht="1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</row>
    <row r="41" spans="1:13" ht="15">
      <c r="A41" s="617" t="s">
        <v>267</v>
      </c>
      <c r="B41" s="621">
        <f>H34</f>
        <v>10.714615809841517</v>
      </c>
      <c r="C41" s="624" t="s">
        <v>269</v>
      </c>
      <c r="D41" s="625">
        <v>0.9</v>
      </c>
      <c r="E41" s="624" t="s">
        <v>270</v>
      </c>
      <c r="F41" s="626">
        <f>B41*(1-D41)</f>
        <v>1.0714615809841515</v>
      </c>
      <c r="G41" s="250" t="s">
        <v>271</v>
      </c>
      <c r="H41" s="623"/>
      <c r="I41" s="250"/>
      <c r="J41" s="250"/>
      <c r="K41" s="250"/>
      <c r="L41" s="250"/>
      <c r="M41" s="250"/>
    </row>
    <row r="42" spans="1:13" ht="15">
      <c r="A42" s="617" t="s">
        <v>268</v>
      </c>
      <c r="B42" s="621">
        <f>H35</f>
        <v>2.8924877472408204</v>
      </c>
      <c r="C42" s="624" t="s">
        <v>269</v>
      </c>
      <c r="D42" s="625">
        <v>0.9</v>
      </c>
      <c r="E42" s="624" t="s">
        <v>270</v>
      </c>
      <c r="F42" s="626">
        <f>B42*(1-D42)</f>
        <v>0.28924877472408195</v>
      </c>
      <c r="G42" s="250" t="s">
        <v>271</v>
      </c>
      <c r="H42" s="623"/>
      <c r="I42" s="250"/>
      <c r="J42" s="250"/>
      <c r="K42" s="250"/>
      <c r="L42" s="250"/>
      <c r="M42" s="250"/>
    </row>
    <row r="43" spans="1:13">
      <c r="A43" s="197"/>
      <c r="B43" s="197"/>
      <c r="C43" s="197"/>
      <c r="D43" s="197"/>
      <c r="E43" s="197"/>
      <c r="F43" s="197"/>
      <c r="G43" s="197"/>
      <c r="H43" s="197"/>
      <c r="I43" s="197"/>
      <c r="J43" s="197"/>
    </row>
    <row r="44" spans="1:13">
      <c r="A44" s="197"/>
      <c r="B44" s="197"/>
      <c r="C44" s="197"/>
      <c r="D44" s="197"/>
      <c r="E44" s="197"/>
      <c r="F44" s="197"/>
      <c r="G44" s="197"/>
      <c r="H44" s="197"/>
      <c r="I44" s="197"/>
      <c r="J44" s="197"/>
    </row>
  </sheetData>
  <mergeCells count="1">
    <mergeCell ref="B17:E17"/>
  </mergeCells>
  <pageMargins left="0.75" right="0.75" top="1" bottom="1" header="0.5" footer="0.5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ABD3-2802-4F1B-B142-E348589D680B}">
  <dimension ref="A1:O44"/>
  <sheetViews>
    <sheetView topLeftCell="A29" zoomScale="120" zoomScaleNormal="120" workbookViewId="0">
      <selection activeCell="I50" sqref="H50:I50"/>
    </sheetView>
  </sheetViews>
  <sheetFormatPr defaultRowHeight="12.75"/>
  <cols>
    <col min="1" max="1" width="11.7109375" customWidth="1"/>
    <col min="2" max="2" width="13.140625" customWidth="1"/>
    <col min="4" max="4" width="12.5703125" customWidth="1"/>
    <col min="5" max="5" width="13.140625" customWidth="1"/>
  </cols>
  <sheetData>
    <row r="1" spans="1:15">
      <c r="E1" s="171" t="s">
        <v>617</v>
      </c>
      <c r="F1" s="159"/>
      <c r="I1" s="159"/>
    </row>
    <row r="2" spans="1:15">
      <c r="F2" s="159"/>
      <c r="G2" s="171"/>
      <c r="H2" s="171"/>
      <c r="I2" s="159"/>
    </row>
    <row r="3" spans="1:15" ht="15">
      <c r="E3" s="172" t="s">
        <v>304</v>
      </c>
      <c r="G3" s="172"/>
      <c r="H3" s="172"/>
      <c r="I3" s="173"/>
    </row>
    <row r="4" spans="1:15">
      <c r="F4" s="159"/>
      <c r="G4" s="171"/>
      <c r="H4" s="171"/>
      <c r="I4" s="159"/>
    </row>
    <row r="5" spans="1:15">
      <c r="D5" s="174" t="s">
        <v>189</v>
      </c>
      <c r="E5" t="s">
        <v>207</v>
      </c>
    </row>
    <row r="6" spans="1:15">
      <c r="D6" s="174" t="s">
        <v>190</v>
      </c>
      <c r="E6" t="s">
        <v>208</v>
      </c>
    </row>
    <row r="7" spans="1:15">
      <c r="D7" s="174" t="s">
        <v>305</v>
      </c>
      <c r="E7" t="s">
        <v>309</v>
      </c>
    </row>
    <row r="8" spans="1:15">
      <c r="D8" s="174" t="s">
        <v>191</v>
      </c>
      <c r="E8" s="438" t="s">
        <v>718</v>
      </c>
    </row>
    <row r="9" spans="1:15">
      <c r="D9" s="174"/>
      <c r="E9" s="175"/>
    </row>
    <row r="10" spans="1:15" ht="15.75">
      <c r="A10" s="280" t="s">
        <v>256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</row>
    <row r="11" spans="1:15" ht="15">
      <c r="A11" s="614">
        <v>15000</v>
      </c>
      <c r="B11" s="250" t="s">
        <v>586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</row>
    <row r="12" spans="1:15" ht="15">
      <c r="A12" s="250">
        <v>1.5</v>
      </c>
      <c r="B12" s="615" t="s">
        <v>476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</row>
    <row r="13" spans="1:15" ht="15">
      <c r="A13" s="250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</row>
    <row r="14" spans="1:15" ht="15.75">
      <c r="A14" s="281" t="s">
        <v>272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</row>
    <row r="15" spans="1:15" ht="15">
      <c r="A15" s="250" t="s">
        <v>470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</row>
    <row r="16" spans="1:15" ht="15">
      <c r="A16" s="25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</row>
    <row r="17" spans="1:15" ht="15">
      <c r="A17" s="616" t="s">
        <v>273</v>
      </c>
      <c r="B17" s="774" t="s">
        <v>274</v>
      </c>
      <c r="C17" s="774"/>
      <c r="D17" s="774"/>
      <c r="E17" s="774"/>
      <c r="F17" s="250"/>
      <c r="G17" s="250"/>
      <c r="H17" s="250"/>
      <c r="I17" s="250"/>
      <c r="J17" s="250"/>
      <c r="K17" s="250"/>
      <c r="L17" s="250"/>
      <c r="M17" s="250"/>
      <c r="N17" s="250"/>
      <c r="O17" s="250"/>
    </row>
    <row r="18" spans="1:15" ht="15">
      <c r="A18" s="617" t="s">
        <v>257</v>
      </c>
      <c r="B18" s="618">
        <f>B21*(B23/12)^B24*(B27/3)^B26*(365-B29)/365</f>
        <v>4.8262434399715497</v>
      </c>
      <c r="C18" s="250" t="s">
        <v>258</v>
      </c>
      <c r="D18" s="250"/>
      <c r="E18" s="618">
        <f>B21*(B23/12)^B24*(B28/3)^B26*(365-B29)/365</f>
        <v>7.4190317712758977</v>
      </c>
      <c r="F18" s="250" t="s">
        <v>259</v>
      </c>
      <c r="G18" s="250"/>
      <c r="H18" s="250"/>
      <c r="I18" s="250"/>
      <c r="J18" s="250"/>
      <c r="K18" s="250"/>
      <c r="L18" s="250"/>
      <c r="M18" s="250"/>
      <c r="N18" s="250"/>
      <c r="O18" s="250"/>
    </row>
    <row r="19" spans="1:15" ht="15">
      <c r="A19" s="617"/>
      <c r="B19" s="618">
        <f>B22*(B23/12)^B25*(B27/3)^B26*(365-B29)/365</f>
        <v>1.302879194464144</v>
      </c>
      <c r="C19" s="250" t="s">
        <v>260</v>
      </c>
      <c r="D19" s="250"/>
      <c r="E19" s="618">
        <f>B22*(B23/12)^B25*(B28/3)^B26*(365-B29)/365</f>
        <v>2.0028210880967938</v>
      </c>
      <c r="F19" s="250" t="s">
        <v>261</v>
      </c>
      <c r="G19" s="250"/>
      <c r="H19" s="250"/>
      <c r="I19" s="250"/>
      <c r="J19" s="250"/>
      <c r="K19" s="614"/>
      <c r="L19" s="250"/>
      <c r="M19" s="250"/>
      <c r="N19" s="250"/>
      <c r="O19" s="250"/>
    </row>
    <row r="20" spans="1:15" ht="15">
      <c r="A20" s="250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</row>
    <row r="21" spans="1:15" ht="15">
      <c r="A21" s="617" t="s">
        <v>262</v>
      </c>
      <c r="B21" s="250">
        <v>4.9000000000000004</v>
      </c>
      <c r="C21" s="615" t="s">
        <v>473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</row>
    <row r="22" spans="1:15" ht="15">
      <c r="A22" s="617" t="s">
        <v>257</v>
      </c>
      <c r="B22" s="250">
        <v>1.5</v>
      </c>
      <c r="C22" s="615" t="s">
        <v>474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</row>
    <row r="23" spans="1:15" ht="15">
      <c r="A23" s="616" t="s">
        <v>275</v>
      </c>
      <c r="B23" s="250">
        <v>6.4</v>
      </c>
      <c r="C23" s="619" t="s">
        <v>276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</row>
    <row r="24" spans="1:15" ht="15">
      <c r="A24" s="616" t="s">
        <v>277</v>
      </c>
      <c r="B24" s="250">
        <v>0.7</v>
      </c>
      <c r="C24" s="619" t="s">
        <v>278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</row>
    <row r="25" spans="1:15" ht="15">
      <c r="A25" s="617" t="s">
        <v>257</v>
      </c>
      <c r="B25" s="250">
        <v>0.9</v>
      </c>
      <c r="C25" s="619" t="s">
        <v>279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</row>
    <row r="26" spans="1:15" ht="15">
      <c r="A26" s="616" t="s">
        <v>280</v>
      </c>
      <c r="B26" s="250">
        <v>0.45</v>
      </c>
      <c r="C26" s="619" t="s">
        <v>281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</row>
    <row r="27" spans="1:15" ht="15">
      <c r="A27" s="616" t="s">
        <v>263</v>
      </c>
      <c r="B27" s="250">
        <v>25</v>
      </c>
      <c r="C27" s="250" t="s">
        <v>588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</row>
    <row r="28" spans="1:15" ht="15">
      <c r="A28" s="616" t="s">
        <v>263</v>
      </c>
      <c r="B28" s="250">
        <v>65</v>
      </c>
      <c r="C28" s="250" t="s">
        <v>587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</row>
    <row r="29" spans="1:15" ht="15">
      <c r="A29" s="616" t="s">
        <v>264</v>
      </c>
      <c r="B29" s="250">
        <v>150</v>
      </c>
      <c r="C29" s="619" t="s">
        <v>265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</row>
    <row r="30" spans="1:15" ht="15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</row>
    <row r="31" spans="1:15" ht="15">
      <c r="A31" s="250" t="s">
        <v>335</v>
      </c>
      <c r="B31" s="250"/>
      <c r="C31" s="250"/>
      <c r="D31" s="250"/>
      <c r="E31" s="250"/>
      <c r="F31" s="614">
        <f>A11*A12</f>
        <v>22500</v>
      </c>
      <c r="G31" s="250" t="s">
        <v>266</v>
      </c>
      <c r="H31" s="250"/>
      <c r="I31" s="250"/>
      <c r="J31" s="250"/>
      <c r="K31" s="250"/>
      <c r="L31" s="250"/>
      <c r="M31" s="250"/>
      <c r="N31" s="250"/>
      <c r="O31" s="250"/>
    </row>
    <row r="32" spans="1:15" ht="15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</row>
    <row r="33" spans="1:15" ht="15">
      <c r="A33" s="250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</row>
    <row r="34" spans="1:15" ht="15">
      <c r="A34" s="617" t="s">
        <v>267</v>
      </c>
      <c r="B34" s="620">
        <f>(F31)*B18/2000</f>
        <v>54.295238699679935</v>
      </c>
      <c r="C34" s="250" t="s">
        <v>282</v>
      </c>
      <c r="D34" s="250"/>
      <c r="E34" s="620">
        <f>(F31)*E18/2000</f>
        <v>83.464107426853857</v>
      </c>
      <c r="F34" s="250" t="s">
        <v>283</v>
      </c>
      <c r="G34" s="250"/>
      <c r="H34" s="621">
        <f>SUM(B34,E34)</f>
        <v>137.75934612653379</v>
      </c>
      <c r="I34" s="250" t="s">
        <v>271</v>
      </c>
      <c r="J34" s="250"/>
      <c r="K34" s="250"/>
      <c r="L34" s="250"/>
      <c r="M34" s="250"/>
      <c r="N34" s="250"/>
      <c r="O34" s="250"/>
    </row>
    <row r="35" spans="1:15" ht="15">
      <c r="A35" s="617" t="s">
        <v>268</v>
      </c>
      <c r="B35" s="620">
        <f>(F31)*B19/2000</f>
        <v>14.657390937721621</v>
      </c>
      <c r="C35" s="250" t="s">
        <v>282</v>
      </c>
      <c r="D35" s="250"/>
      <c r="E35" s="620">
        <f>(F31)*E19/2000</f>
        <v>22.53173724108893</v>
      </c>
      <c r="F35" s="250" t="s">
        <v>283</v>
      </c>
      <c r="G35" s="250"/>
      <c r="H35" s="621">
        <f>SUM(B35,E35)</f>
        <v>37.189128178810549</v>
      </c>
      <c r="I35" s="250" t="s">
        <v>271</v>
      </c>
      <c r="J35" s="250"/>
      <c r="K35" s="250"/>
      <c r="L35" s="250"/>
      <c r="M35" s="250"/>
      <c r="N35" s="250"/>
      <c r="O35" s="250"/>
    </row>
    <row r="36" spans="1:15" ht="15">
      <c r="A36" s="617"/>
      <c r="B36" s="620"/>
      <c r="C36" s="250"/>
      <c r="D36" s="622"/>
      <c r="E36" s="250"/>
      <c r="F36" s="250"/>
      <c r="G36" s="623"/>
      <c r="H36" s="250"/>
      <c r="I36" s="250"/>
      <c r="J36" s="250"/>
      <c r="K36" s="250"/>
      <c r="L36" s="250"/>
      <c r="M36" s="250"/>
      <c r="N36" s="250"/>
      <c r="O36" s="250"/>
    </row>
    <row r="37" spans="1:15" ht="15">
      <c r="A37" s="250" t="s">
        <v>284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</row>
    <row r="38" spans="1:15" ht="15">
      <c r="A38" s="250" t="s">
        <v>285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</row>
    <row r="39" spans="1:15" ht="15">
      <c r="A39" s="250" t="s">
        <v>717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</row>
    <row r="40" spans="1:15" ht="1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</row>
    <row r="41" spans="1:15" ht="15">
      <c r="A41" s="617" t="s">
        <v>267</v>
      </c>
      <c r="B41" s="620">
        <f>H34</f>
        <v>137.75934612653379</v>
      </c>
      <c r="C41" s="624" t="s">
        <v>269</v>
      </c>
      <c r="D41" s="625">
        <v>0.9</v>
      </c>
      <c r="E41" s="624" t="s">
        <v>270</v>
      </c>
      <c r="F41" s="626">
        <f>B41*(1-D41)</f>
        <v>13.775934612653375</v>
      </c>
      <c r="G41" s="250" t="s">
        <v>271</v>
      </c>
      <c r="H41" s="622"/>
      <c r="I41" s="250"/>
      <c r="J41" s="250"/>
      <c r="K41" s="250"/>
      <c r="L41" s="250"/>
      <c r="M41" s="250"/>
      <c r="N41" s="250"/>
      <c r="O41" s="250"/>
    </row>
    <row r="42" spans="1:15" ht="15">
      <c r="A42" s="617" t="s">
        <v>268</v>
      </c>
      <c r="B42" s="621">
        <f>H35</f>
        <v>37.189128178810549</v>
      </c>
      <c r="C42" s="624" t="s">
        <v>269</v>
      </c>
      <c r="D42" s="625">
        <v>0.9</v>
      </c>
      <c r="E42" s="624" t="s">
        <v>270</v>
      </c>
      <c r="F42" s="626">
        <f>B42*(1-D42)</f>
        <v>3.718912817881054</v>
      </c>
      <c r="G42" s="250" t="s">
        <v>271</v>
      </c>
      <c r="H42" s="622"/>
      <c r="I42" s="250"/>
      <c r="J42" s="250"/>
      <c r="K42" s="250"/>
      <c r="L42" s="250"/>
      <c r="M42" s="250"/>
      <c r="N42" s="250"/>
      <c r="O42" s="250"/>
    </row>
    <row r="43" spans="1:15">
      <c r="A43" s="197"/>
      <c r="B43" s="197"/>
      <c r="C43" s="197"/>
      <c r="D43" s="197"/>
      <c r="E43" s="197"/>
      <c r="F43" s="197"/>
      <c r="G43" s="197"/>
      <c r="H43" s="197"/>
      <c r="I43" s="197"/>
      <c r="J43" s="197"/>
    </row>
    <row r="44" spans="1:15">
      <c r="A44" s="197"/>
      <c r="B44" s="197"/>
      <c r="C44" s="197"/>
      <c r="D44" s="197"/>
      <c r="E44" s="197"/>
      <c r="F44" s="197"/>
      <c r="G44" s="197"/>
      <c r="H44" s="197"/>
      <c r="I44" s="197"/>
      <c r="J44" s="197"/>
    </row>
  </sheetData>
  <mergeCells count="1">
    <mergeCell ref="B17:E17"/>
  </mergeCells>
  <pageMargins left="0.75" right="0.75" top="1" bottom="1" header="0.5" footer="0.5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CD22-22DE-4A1C-BFD5-2BE35A2D9B30}">
  <dimension ref="A1:P71"/>
  <sheetViews>
    <sheetView topLeftCell="A55" zoomScale="120" zoomScaleNormal="120" workbookViewId="0">
      <selection activeCell="L72" sqref="L72"/>
    </sheetView>
  </sheetViews>
  <sheetFormatPr defaultRowHeight="12.75"/>
  <cols>
    <col min="1" max="1" width="11.7109375" customWidth="1"/>
    <col min="2" max="2" width="13.140625" customWidth="1"/>
    <col min="4" max="4" width="12.5703125" customWidth="1"/>
    <col min="5" max="5" width="13.140625" customWidth="1"/>
  </cols>
  <sheetData>
    <row r="1" spans="1:16">
      <c r="E1" s="171" t="s">
        <v>617</v>
      </c>
      <c r="F1" s="159"/>
      <c r="I1" s="159"/>
    </row>
    <row r="2" spans="1:16">
      <c r="F2" s="159"/>
      <c r="G2" s="171"/>
      <c r="H2" s="171"/>
      <c r="I2" s="159"/>
    </row>
    <row r="3" spans="1:16" ht="15">
      <c r="E3" s="172" t="s">
        <v>304</v>
      </c>
      <c r="G3" s="172"/>
      <c r="H3" s="172"/>
      <c r="I3" s="173"/>
    </row>
    <row r="4" spans="1:16">
      <c r="F4" s="159"/>
      <c r="G4" s="171"/>
      <c r="H4" s="171"/>
      <c r="I4" s="159"/>
    </row>
    <row r="5" spans="1:16">
      <c r="D5" s="174" t="s">
        <v>189</v>
      </c>
      <c r="E5" t="s">
        <v>207</v>
      </c>
    </row>
    <row r="6" spans="1:16">
      <c r="D6" s="174" t="s">
        <v>190</v>
      </c>
      <c r="E6" t="s">
        <v>208</v>
      </c>
    </row>
    <row r="7" spans="1:16">
      <c r="D7" s="174" t="s">
        <v>305</v>
      </c>
      <c r="E7" t="s">
        <v>309</v>
      </c>
    </row>
    <row r="8" spans="1:16">
      <c r="D8" s="174" t="s">
        <v>191</v>
      </c>
      <c r="E8" s="438" t="s">
        <v>718</v>
      </c>
    </row>
    <row r="9" spans="1:16">
      <c r="D9" s="174"/>
      <c r="E9" s="175"/>
    </row>
    <row r="10" spans="1:16" ht="15.75">
      <c r="A10" s="280" t="s">
        <v>256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ht="15">
      <c r="A11" s="614">
        <v>75000</v>
      </c>
      <c r="B11" s="250" t="s">
        <v>586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</row>
    <row r="12" spans="1:16" ht="15">
      <c r="A12" s="250">
        <v>0.5</v>
      </c>
      <c r="B12" s="615" t="s">
        <v>380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ht="15">
      <c r="A13" s="250">
        <v>1.25</v>
      </c>
      <c r="B13" s="615" t="s">
        <v>476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</row>
    <row r="14" spans="1:16" ht="15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ht="15.75">
      <c r="A15" s="281" t="s">
        <v>381</v>
      </c>
      <c r="B15" s="28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</row>
    <row r="16" spans="1:16" ht="15">
      <c r="A16" s="250" t="s">
        <v>469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</row>
    <row r="17" spans="1:16" ht="15">
      <c r="A17" s="250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</row>
    <row r="18" spans="1:16" ht="12.75" customHeight="1">
      <c r="A18" s="617" t="s">
        <v>382</v>
      </c>
      <c r="B18" s="250" t="s">
        <v>471</v>
      </c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</row>
    <row r="19" spans="1:16" ht="15">
      <c r="A19" s="617" t="s">
        <v>257</v>
      </c>
      <c r="B19" s="618">
        <f>(B22*(B24)^0.91*(B25)^1.02)*(1-(B27/(4*B28)))</f>
        <v>1.2952767961664096</v>
      </c>
      <c r="C19" s="250" t="s">
        <v>258</v>
      </c>
      <c r="D19" s="250"/>
      <c r="E19" s="627">
        <f>(B22*(B24)^0.91*(B26)^1.02)*(1-(B27/(4*B28)))</f>
        <v>2.6267163728499772</v>
      </c>
      <c r="F19" s="250" t="s">
        <v>259</v>
      </c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6" ht="15">
      <c r="A20" s="617" t="s">
        <v>257</v>
      </c>
      <c r="B20" s="618">
        <f>(B23*(B24)^0.91*(B25)^1.02)*(1-(B27/(4*B28)))</f>
        <v>0.25905535923328199</v>
      </c>
      <c r="C20" s="250" t="s">
        <v>260</v>
      </c>
      <c r="D20" s="250"/>
      <c r="E20" s="627">
        <f>(B23*(B24)^0.91*(B26)^1.02)*(1-(B37/(4*B28)))</f>
        <v>0.58549708463526218</v>
      </c>
      <c r="F20" s="250" t="s">
        <v>261</v>
      </c>
      <c r="G20" s="250"/>
      <c r="H20" s="250"/>
      <c r="I20" s="250"/>
      <c r="J20" s="250"/>
      <c r="K20" s="250"/>
      <c r="L20" s="250"/>
      <c r="M20" s="250"/>
      <c r="N20" s="250"/>
      <c r="O20" s="250"/>
      <c r="P20" s="250"/>
    </row>
    <row r="21" spans="1:16" ht="15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ht="15">
      <c r="A22" s="617" t="s">
        <v>262</v>
      </c>
      <c r="B22" s="250">
        <v>1.0999999999999999E-2</v>
      </c>
      <c r="C22" s="615" t="s">
        <v>383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15">
      <c r="A23" s="617" t="s">
        <v>257</v>
      </c>
      <c r="B23" s="250">
        <v>2.2000000000000001E-3</v>
      </c>
      <c r="C23" s="615" t="s">
        <v>384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</row>
    <row r="24" spans="1:16" ht="15">
      <c r="A24" s="617" t="s">
        <v>385</v>
      </c>
      <c r="B24" s="250">
        <v>7.4</v>
      </c>
      <c r="C24" s="250" t="s">
        <v>472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ht="15">
      <c r="A25" s="617" t="s">
        <v>263</v>
      </c>
      <c r="B25" s="250">
        <v>20</v>
      </c>
      <c r="C25" s="250" t="s">
        <v>588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ht="15">
      <c r="A26" s="617" t="s">
        <v>263</v>
      </c>
      <c r="B26" s="250">
        <v>40</v>
      </c>
      <c r="C26" s="250" t="s">
        <v>587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ht="15">
      <c r="A27" s="616" t="s">
        <v>264</v>
      </c>
      <c r="B27" s="250">
        <v>150</v>
      </c>
      <c r="C27" s="619" t="s">
        <v>265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ht="15">
      <c r="A28" s="616" t="s">
        <v>391</v>
      </c>
      <c r="B28" s="250">
        <v>365</v>
      </c>
      <c r="C28" s="619" t="s">
        <v>392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ht="15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ht="15">
      <c r="A30" s="250" t="s">
        <v>386</v>
      </c>
      <c r="B30" s="250"/>
      <c r="C30" s="250"/>
      <c r="D30" s="250"/>
      <c r="E30" s="250"/>
      <c r="F30" s="614">
        <f>A11*A12</f>
        <v>37500</v>
      </c>
      <c r="G30" s="250" t="s">
        <v>266</v>
      </c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ht="15">
      <c r="A31" s="250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ht="15">
      <c r="A32" s="617" t="s">
        <v>267</v>
      </c>
      <c r="B32" s="620">
        <f>(F30)*B19/2000</f>
        <v>24.286439928120181</v>
      </c>
      <c r="C32" s="250" t="s">
        <v>387</v>
      </c>
      <c r="D32" s="250"/>
      <c r="E32" s="620">
        <f>(F30)*E19/2000</f>
        <v>49.250931990937076</v>
      </c>
      <c r="F32" s="250" t="s">
        <v>388</v>
      </c>
      <c r="G32" s="250"/>
      <c r="H32" s="621">
        <f>SUM(B32,E32)</f>
        <v>73.53737191905725</v>
      </c>
      <c r="I32" s="250" t="s">
        <v>389</v>
      </c>
      <c r="J32" s="250"/>
      <c r="K32" s="250"/>
      <c r="L32" s="250"/>
      <c r="M32" s="250"/>
      <c r="N32" s="250"/>
      <c r="O32" s="250"/>
      <c r="P32" s="250"/>
    </row>
    <row r="33" spans="1:16" ht="15">
      <c r="A33" s="617" t="s">
        <v>268</v>
      </c>
      <c r="B33" s="620">
        <f>(F30)*B20/2000</f>
        <v>4.857287985624037</v>
      </c>
      <c r="C33" s="250" t="s">
        <v>387</v>
      </c>
      <c r="D33" s="250"/>
      <c r="E33" s="620">
        <f>(F30)*E20/2000</f>
        <v>10.978070336911165</v>
      </c>
      <c r="F33" s="250" t="s">
        <v>388</v>
      </c>
      <c r="G33" s="250"/>
      <c r="H33" s="621">
        <f>SUM(B33,E33)</f>
        <v>15.835358322535201</v>
      </c>
      <c r="I33" s="250" t="s">
        <v>389</v>
      </c>
      <c r="J33" s="250"/>
      <c r="K33" s="250"/>
      <c r="L33" s="250"/>
      <c r="M33" s="250"/>
      <c r="N33" s="250"/>
      <c r="O33" s="250"/>
      <c r="P33" s="250"/>
    </row>
    <row r="34" spans="1:16" ht="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ht="15">
      <c r="A35" s="250" t="s">
        <v>589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ht="15">
      <c r="A36" s="250" t="s">
        <v>390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7" spans="1:16" ht="15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ht="15">
      <c r="A38" s="617" t="s">
        <v>267</v>
      </c>
      <c r="B38" s="620">
        <f>H32</f>
        <v>73.53737191905725</v>
      </c>
      <c r="C38" s="624" t="s">
        <v>269</v>
      </c>
      <c r="D38" s="625">
        <v>0.9</v>
      </c>
      <c r="E38" s="624" t="s">
        <v>270</v>
      </c>
      <c r="F38" s="626">
        <f>B38*(1-D38)</f>
        <v>7.3537371919057231</v>
      </c>
      <c r="G38" s="250" t="s">
        <v>271</v>
      </c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ht="15">
      <c r="A39" s="617" t="s">
        <v>268</v>
      </c>
      <c r="B39" s="621">
        <f>H33</f>
        <v>15.835358322535201</v>
      </c>
      <c r="C39" s="624" t="s">
        <v>269</v>
      </c>
      <c r="D39" s="625">
        <v>0.9</v>
      </c>
      <c r="E39" s="624" t="s">
        <v>270</v>
      </c>
      <c r="F39" s="626">
        <f>B39*(1-D39)</f>
        <v>1.5835358322535198</v>
      </c>
      <c r="G39" s="250" t="s">
        <v>271</v>
      </c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ht="1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ht="15.75">
      <c r="A41" s="281" t="s">
        <v>272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ht="15">
      <c r="A42" s="250" t="s">
        <v>470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ht="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ht="15">
      <c r="A44" s="616" t="s">
        <v>273</v>
      </c>
      <c r="B44" s="774" t="s">
        <v>274</v>
      </c>
      <c r="C44" s="774"/>
      <c r="D44" s="774"/>
      <c r="E44" s="774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ht="15">
      <c r="A45" s="617" t="s">
        <v>257</v>
      </c>
      <c r="B45" s="618">
        <f>B48*(B50/12)^B51*(B54/3)^B53*(365-B56)/365</f>
        <v>4.3651554926823559</v>
      </c>
      <c r="C45" s="250" t="s">
        <v>258</v>
      </c>
      <c r="D45" s="250"/>
      <c r="E45" s="618">
        <f>B48*(B50/12)^B51*(B55/3)^B53*(365-B56)/365</f>
        <v>5.9629781299966638</v>
      </c>
      <c r="F45" s="250" t="s">
        <v>259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15">
      <c r="A46" s="617"/>
      <c r="B46" s="618">
        <f>B49*(B50/12)^B52*(B54/3)^B53*(365-B56)/365</f>
        <v>1.1784051805000217</v>
      </c>
      <c r="C46" s="250" t="s">
        <v>260</v>
      </c>
      <c r="D46" s="250"/>
      <c r="E46" s="618">
        <f>B49*(B50/12)^B52*(B55/3)^B53*(365-B56)/365</f>
        <v>1.6097489153309594</v>
      </c>
      <c r="F46" s="250" t="s">
        <v>261</v>
      </c>
      <c r="G46" s="250"/>
      <c r="H46" s="250"/>
      <c r="I46" s="250"/>
      <c r="J46" s="250"/>
      <c r="K46" s="614"/>
      <c r="L46" s="250"/>
      <c r="M46" s="250"/>
      <c r="N46" s="250"/>
      <c r="O46" s="250"/>
      <c r="P46" s="250"/>
    </row>
    <row r="47" spans="1:16" ht="15">
      <c r="A47" s="250"/>
      <c r="B47" s="250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ht="15">
      <c r="A48" s="617" t="s">
        <v>262</v>
      </c>
      <c r="B48" s="250">
        <v>4.9000000000000004</v>
      </c>
      <c r="C48" s="615" t="s">
        <v>473</v>
      </c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ht="15">
      <c r="A49" s="617" t="s">
        <v>257</v>
      </c>
      <c r="B49" s="250">
        <v>1.5</v>
      </c>
      <c r="C49" s="615" t="s">
        <v>474</v>
      </c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ht="15">
      <c r="A50" s="616" t="s">
        <v>275</v>
      </c>
      <c r="B50" s="250">
        <v>6.4</v>
      </c>
      <c r="C50" s="619" t="s">
        <v>276</v>
      </c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ht="15">
      <c r="A51" s="616" t="s">
        <v>277</v>
      </c>
      <c r="B51" s="250">
        <v>0.7</v>
      </c>
      <c r="C51" s="619" t="s">
        <v>278</v>
      </c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ht="15">
      <c r="A52" s="617" t="s">
        <v>257</v>
      </c>
      <c r="B52" s="250">
        <v>0.9</v>
      </c>
      <c r="C52" s="619" t="s">
        <v>279</v>
      </c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ht="15">
      <c r="A53" s="616" t="s">
        <v>280</v>
      </c>
      <c r="B53" s="250">
        <v>0.45</v>
      </c>
      <c r="C53" s="619" t="s">
        <v>281</v>
      </c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ht="15">
      <c r="A54" s="616" t="s">
        <v>263</v>
      </c>
      <c r="B54" s="250">
        <v>20</v>
      </c>
      <c r="C54" s="250" t="s">
        <v>588</v>
      </c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1:16" ht="15">
      <c r="A55" s="616" t="s">
        <v>263</v>
      </c>
      <c r="B55" s="250">
        <v>40</v>
      </c>
      <c r="C55" s="250" t="s">
        <v>587</v>
      </c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</row>
    <row r="56" spans="1:16" ht="15">
      <c r="A56" s="616" t="s">
        <v>264</v>
      </c>
      <c r="B56" s="250">
        <v>150</v>
      </c>
      <c r="C56" s="619" t="s">
        <v>265</v>
      </c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6" ht="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6" ht="15">
      <c r="A58" s="250" t="s">
        <v>335</v>
      </c>
      <c r="B58" s="250"/>
      <c r="C58" s="250"/>
      <c r="D58" s="250"/>
      <c r="E58" s="250"/>
      <c r="F58" s="614">
        <f>A11*A13</f>
        <v>93750</v>
      </c>
      <c r="G58" s="250" t="s">
        <v>266</v>
      </c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6" ht="15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ht="15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6" ht="15">
      <c r="A61" s="617" t="s">
        <v>267</v>
      </c>
      <c r="B61" s="620">
        <f>(F58)*B45/2000</f>
        <v>204.61666371948542</v>
      </c>
      <c r="C61" s="250" t="s">
        <v>282</v>
      </c>
      <c r="D61" s="250"/>
      <c r="E61" s="620">
        <f>(F58)*E45/2000</f>
        <v>279.5145998435936</v>
      </c>
      <c r="F61" s="250" t="s">
        <v>283</v>
      </c>
      <c r="G61" s="250"/>
      <c r="H61" s="621">
        <f>SUM(B61,E61)</f>
        <v>484.13126356307902</v>
      </c>
      <c r="I61" s="250" t="s">
        <v>271</v>
      </c>
      <c r="J61" s="250"/>
      <c r="K61" s="250"/>
      <c r="L61" s="250"/>
      <c r="M61" s="250"/>
      <c r="N61" s="250"/>
      <c r="O61" s="250"/>
      <c r="P61" s="250"/>
    </row>
    <row r="62" spans="1:16" ht="15">
      <c r="A62" s="617" t="s">
        <v>268</v>
      </c>
      <c r="B62" s="620">
        <f>(F58)*B46/2000</f>
        <v>55.237742835938519</v>
      </c>
      <c r="C62" s="250" t="s">
        <v>282</v>
      </c>
      <c r="D62" s="250"/>
      <c r="E62" s="620">
        <f>(F58)*E46/2000</f>
        <v>75.456980406138726</v>
      </c>
      <c r="F62" s="250" t="s">
        <v>283</v>
      </c>
      <c r="G62" s="250"/>
      <c r="H62" s="621">
        <f>SUM(B62,E62)</f>
        <v>130.69472324207726</v>
      </c>
      <c r="I62" s="250" t="s">
        <v>271</v>
      </c>
      <c r="J62" s="250"/>
      <c r="K62" s="250"/>
      <c r="L62" s="250"/>
      <c r="M62" s="250"/>
      <c r="N62" s="250"/>
      <c r="O62" s="250"/>
      <c r="P62" s="250"/>
    </row>
    <row r="63" spans="1:16" ht="15">
      <c r="A63" s="617"/>
      <c r="B63" s="620"/>
      <c r="C63" s="250"/>
      <c r="D63" s="622"/>
      <c r="E63" s="250"/>
      <c r="F63" s="250"/>
      <c r="G63" s="623"/>
      <c r="H63" s="250"/>
      <c r="I63" s="250"/>
      <c r="J63" s="250"/>
      <c r="K63" s="250"/>
      <c r="L63" s="250"/>
      <c r="M63" s="250"/>
      <c r="N63" s="250"/>
      <c r="O63" s="250"/>
      <c r="P63" s="250"/>
    </row>
    <row r="64" spans="1:16" ht="15">
      <c r="A64" s="250" t="s">
        <v>284</v>
      </c>
      <c r="B64" s="250"/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ht="15">
      <c r="A65" s="250" t="s">
        <v>285</v>
      </c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</row>
    <row r="66" spans="1:16" ht="15">
      <c r="A66" s="250" t="s">
        <v>717</v>
      </c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ht="15">
      <c r="A67" s="250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ht="15">
      <c r="A68" s="617" t="s">
        <v>267</v>
      </c>
      <c r="B68" s="620">
        <f>H61</f>
        <v>484.13126356307902</v>
      </c>
      <c r="C68" s="624" t="s">
        <v>269</v>
      </c>
      <c r="D68" s="625">
        <v>0.9</v>
      </c>
      <c r="E68" s="624" t="s">
        <v>270</v>
      </c>
      <c r="F68" s="626">
        <f>B68*(1-D68)</f>
        <v>48.413126356307892</v>
      </c>
      <c r="G68" s="250" t="s">
        <v>271</v>
      </c>
      <c r="H68" s="622"/>
      <c r="I68" s="250"/>
      <c r="J68" s="250"/>
      <c r="K68" s="250"/>
      <c r="L68" s="250"/>
      <c r="M68" s="250"/>
      <c r="N68" s="250"/>
      <c r="O68" s="250"/>
      <c r="P68" s="250"/>
    </row>
    <row r="69" spans="1:16" ht="15">
      <c r="A69" s="617" t="s">
        <v>268</v>
      </c>
      <c r="B69" s="621">
        <f>H62</f>
        <v>130.69472324207726</v>
      </c>
      <c r="C69" s="624" t="s">
        <v>269</v>
      </c>
      <c r="D69" s="625">
        <v>0.9</v>
      </c>
      <c r="E69" s="624" t="s">
        <v>270</v>
      </c>
      <c r="F69" s="626">
        <f>B69*(1-D69)</f>
        <v>13.069472324207723</v>
      </c>
      <c r="G69" s="250" t="s">
        <v>271</v>
      </c>
      <c r="H69" s="622"/>
      <c r="I69" s="250"/>
      <c r="J69" s="250"/>
      <c r="K69" s="250"/>
      <c r="L69" s="250"/>
      <c r="M69" s="250"/>
      <c r="N69" s="250"/>
      <c r="O69" s="250"/>
      <c r="P69" s="250"/>
    </row>
    <row r="70" spans="1:16">
      <c r="A70" s="197"/>
      <c r="B70" s="197"/>
      <c r="C70" s="197"/>
      <c r="D70" s="197"/>
      <c r="E70" s="197"/>
      <c r="F70" s="197"/>
      <c r="G70" s="197"/>
      <c r="H70" s="197"/>
      <c r="I70" s="197"/>
      <c r="J70" s="197"/>
    </row>
    <row r="71" spans="1:16">
      <c r="A71" s="197"/>
      <c r="B71" s="197"/>
      <c r="C71" s="197"/>
      <c r="D71" s="197"/>
      <c r="E71" s="197"/>
      <c r="F71" s="197"/>
      <c r="G71" s="197"/>
      <c r="H71" s="197"/>
      <c r="I71" s="197"/>
      <c r="J71" s="197"/>
    </row>
  </sheetData>
  <mergeCells count="1">
    <mergeCell ref="B44:E44"/>
  </mergeCells>
  <phoneticPr fontId="22" type="noConversion"/>
  <pageMargins left="0.75" right="0.75" top="1" bottom="1" header="0.5" footer="0.5"/>
  <pageSetup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5383296ED4D4DB0AD800770D06660" ma:contentTypeVersion="13" ma:contentTypeDescription="Create a new document." ma:contentTypeScope="" ma:versionID="d3cd270cf67a065641776f1b2860986c">
  <xsd:schema xmlns:xsd="http://www.w3.org/2001/XMLSchema" xmlns:xs="http://www.w3.org/2001/XMLSchema" xmlns:p="http://schemas.microsoft.com/office/2006/metadata/properties" xmlns:ns2="688d689e-5026-4cd3-ab19-d86d5abe8b8f" xmlns:ns3="feaad656-1b10-457c-90e9-91a22fe1f7eb" targetNamespace="http://schemas.microsoft.com/office/2006/metadata/properties" ma:root="true" ma:fieldsID="ce97ba44ef4400e97301af91ee4eadb6" ns2:_="" ns3:_="">
    <xsd:import namespace="688d689e-5026-4cd3-ab19-d86d5abe8b8f"/>
    <xsd:import namespace="feaad656-1b10-457c-90e9-91a22fe1f7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d689e-5026-4cd3-ab19-d86d5abe8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f121c4d-7a7c-4cad-b202-e2ff2641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d656-1b10-457c-90e9-91a22fe1f7e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bda6103-8379-4351-840b-17cc1c57b5f5}" ma:internalName="TaxCatchAll" ma:showField="CatchAllData" ma:web="feaad656-1b10-457c-90e9-91a22fe1f7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aad656-1b10-457c-90e9-91a22fe1f7eb" xsi:nil="true"/>
    <lcf76f155ced4ddcb4097134ff3c332f xmlns="688d689e-5026-4cd3-ab19-d86d5abe8b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4475B8-2F7E-478B-9694-E8BD1458EE40}"/>
</file>

<file path=customXml/itemProps2.xml><?xml version="1.0" encoding="utf-8"?>
<ds:datastoreItem xmlns:ds="http://schemas.openxmlformats.org/officeDocument/2006/customXml" ds:itemID="{35086372-C07D-4DC4-878A-F1D1389D6670}"/>
</file>

<file path=customXml/itemProps3.xml><?xml version="1.0" encoding="utf-8"?>
<ds:datastoreItem xmlns:ds="http://schemas.openxmlformats.org/officeDocument/2006/customXml" ds:itemID="{48A20DE8-15BC-473E-A25A-4D72FB579C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Flare Criteria Pollutants</vt:lpstr>
      <vt:lpstr>Sample Calculations</vt:lpstr>
      <vt:lpstr>HAPs from flare</vt:lpstr>
      <vt:lpstr>Flare Emissions</vt:lpstr>
      <vt:lpstr>Updated LFG Model</vt:lpstr>
      <vt:lpstr>HAP Fugitive</vt:lpstr>
      <vt:lpstr>Roads - Construction</vt:lpstr>
      <vt:lpstr>Roads - Soil</vt:lpstr>
      <vt:lpstr>Roads - Waste</vt:lpstr>
      <vt:lpstr>Stg Tanks</vt:lpstr>
      <vt:lpstr>Heated Pressure Washer</vt:lpstr>
      <vt:lpstr>Misc. Combustion</vt:lpstr>
      <vt:lpstr>IC Engine 635 hp</vt:lpstr>
      <vt:lpstr>IC Engine 896 hp</vt:lpstr>
      <vt:lpstr>Office Emerg Gen</vt:lpstr>
      <vt:lpstr>Fugitive - LF Operations</vt:lpstr>
      <vt:lpstr>Entire Source Emissions</vt:lpstr>
      <vt:lpstr>'Entire Source Emissions'!Print_Area</vt:lpstr>
      <vt:lpstr>'Misc. Combustion'!Print_Area</vt:lpstr>
      <vt:lpstr>'Roads - Construction'!Print_Area</vt:lpstr>
      <vt:lpstr>'Roads - Soil'!Print_Area</vt:lpstr>
      <vt:lpstr>'Roads - Waste'!Print_Area</vt:lpstr>
      <vt:lpstr>'Stg Tanks'!Print_Area</vt:lpstr>
      <vt:lpstr>'Updated LFG Model'!Print_Titles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Julie</dc:creator>
  <cp:lastModifiedBy>Ajenifuja, Hafeez</cp:lastModifiedBy>
  <cp:lastPrinted>2020-05-29T17:04:34Z</cp:lastPrinted>
  <dcterms:created xsi:type="dcterms:W3CDTF">2004-02-18T19:30:20Z</dcterms:created>
  <dcterms:modified xsi:type="dcterms:W3CDTF">2025-06-19T19:31:59Z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0x0101008C65383296ED4D4DB0AD800770D06660</vt:lpwstr>
  </property>
</Properties>
</file>