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alleghenycounty-my.sharepoint.com/personal/bernadette_lipari_alleghenycounty_us/Documents/blipari/Springdale Energy TVOP/2026 Renewal TVOP/Permit/Issued_2026-05-13/TVOP/"/>
    </mc:Choice>
  </mc:AlternateContent>
  <xr:revisionPtr revIDLastSave="21" documentId="8_{DEE7766F-A7B2-411D-84F1-38C9F5885897}" xr6:coauthVersionLast="47" xr6:coauthVersionMax="47" xr10:uidLastSave="{120F8C52-22F6-442E-A9CF-5BB5D5B2DDD1}"/>
  <bookViews>
    <workbookView xWindow="-108" yWindow="-108" windowWidth="23256" windowHeight="12456" firstSheet="1" activeTab="8" xr2:uid="{00000000-000D-0000-FFFF-FFFF00000000}"/>
  </bookViews>
  <sheets>
    <sheet name="PTE INPUTS" sheetId="2" r:id="rId1"/>
    <sheet name="Typ" sheetId="3" r:id="rId2"/>
    <sheet name="HAPs Factors" sheetId="5" state="hidden" r:id="rId3"/>
    <sheet name="Typ_2" sheetId="4" r:id="rId4"/>
    <sheet name="HAPs" sheetId="9" r:id="rId5"/>
    <sheet name="NH3 tank" sheetId="16" r:id="rId6"/>
    <sheet name="Cooling Tower" sheetId="15" r:id="rId7"/>
    <sheet name="SU-SD" sheetId="21" r:id="rId8"/>
    <sheet name="SPDL Permit Limits Summary" sheetId="26" r:id="rId9"/>
    <sheet name="G02" sheetId="22" r:id="rId10"/>
    <sheet name="EGs" sheetId="23" r:id="rId11"/>
    <sheet name="EGsHAPs" sheetId="25" r:id="rId12"/>
    <sheet name="PTE Appendix" sheetId="13" r:id="rId13"/>
  </sheets>
  <externalReferences>
    <externalReference r:id="rId14"/>
  </externalReferences>
  <definedNames>
    <definedName name="_Order1" hidden="1">255</definedName>
    <definedName name="_Order2" hidden="1">255</definedName>
    <definedName name="date">'PTE INPUTS'!$C$147</definedName>
    <definedName name="_xlnm.Print_Area" localSheetId="6">'Cooling Tower'!$A$1:$I$32</definedName>
    <definedName name="_xlnm.Print_Area" localSheetId="10">EGs!$A$1:$H$56</definedName>
    <definedName name="_xlnm.Print_Area" localSheetId="11">EGsHAPs!$A$1:$I$35</definedName>
    <definedName name="_xlnm.Print_Area" localSheetId="9">'G02'!$A$1:$F$37</definedName>
    <definedName name="_xlnm.Print_Area" localSheetId="4">HAPs!$A$1:$I$25</definedName>
    <definedName name="_xlnm.Print_Area" localSheetId="2">'HAPs Factors'!$A$1:$K$43</definedName>
    <definedName name="_xlnm.Print_Area" localSheetId="5">'NH3 tank'!$A$1:$F$22</definedName>
    <definedName name="_xlnm.Print_Area" localSheetId="12">'PTE Appendix'!$A$1:$J$36</definedName>
    <definedName name="_xlnm.Print_Area" localSheetId="0">'PTE INPUTS'!$A$1:$E$104</definedName>
    <definedName name="_xlnm.Print_Area" localSheetId="7">'SU-SD'!$A$1:$H$31</definedName>
    <definedName name="_xlnm.Print_Area" localSheetId="1">Typ!$A$1:$M$22</definedName>
    <definedName name="_xlnm.Print_Area" localSheetId="3">Typ_2!$A$1:$O$50</definedName>
    <definedName name="tityear">'PTE INPUTS'!$C$152</definedName>
    <definedName name="trace_pg2">#REF!</definedName>
    <definedName name="trace_pg3">#REF!</definedName>
    <definedName name="trace_pg4">#REF!</definedName>
    <definedName name="U3COALYR">Typ!#REF!</definedName>
    <definedName name="U3GASYR">Typ!#REF!</definedName>
    <definedName name="U3OILYR">Typ!#REF!</definedName>
    <definedName name="U4COALYR">Typ!#REF!</definedName>
    <definedName name="U4GASYR">Typ!#REF!</definedName>
    <definedName name="U4OILYR">Typ!#REF!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26" l="1"/>
  <c r="U11" i="26"/>
  <c r="R11" i="26"/>
  <c r="I11" i="26"/>
  <c r="G11" i="26"/>
  <c r="T11" i="26" s="1"/>
  <c r="W10" i="26"/>
  <c r="U10" i="26"/>
  <c r="R10" i="26"/>
  <c r="G10" i="26"/>
  <c r="T10" i="26" s="1"/>
  <c r="D10" i="26"/>
  <c r="L10" i="26" s="1"/>
  <c r="W9" i="26"/>
  <c r="U9" i="26"/>
  <c r="R9" i="26"/>
  <c r="G9" i="26"/>
  <c r="T9" i="26" s="1"/>
  <c r="W8" i="26"/>
  <c r="U8" i="26"/>
  <c r="R8" i="26"/>
  <c r="K8" i="26"/>
  <c r="G8" i="26"/>
  <c r="T8" i="26" s="1"/>
  <c r="E8" i="26"/>
  <c r="L8" i="26" s="1"/>
  <c r="D8" i="26"/>
  <c r="W7" i="26"/>
  <c r="U7" i="26"/>
  <c r="R7" i="26"/>
  <c r="K7" i="26"/>
  <c r="G7" i="26"/>
  <c r="T7" i="26" s="1"/>
  <c r="E7" i="26"/>
  <c r="D7" i="26"/>
  <c r="L7" i="26" s="1"/>
  <c r="W6" i="26"/>
  <c r="U6" i="26"/>
  <c r="T6" i="26"/>
  <c r="R6" i="26"/>
  <c r="K6" i="26"/>
  <c r="G6" i="26"/>
  <c r="E6" i="26"/>
  <c r="D6" i="26"/>
  <c r="L6" i="26" s="1"/>
  <c r="W5" i="26"/>
  <c r="U5" i="26"/>
  <c r="R5" i="26"/>
  <c r="K5" i="26"/>
  <c r="G5" i="26"/>
  <c r="T5" i="26" s="1"/>
  <c r="E5" i="26"/>
  <c r="D5" i="26"/>
  <c r="L5" i="26" s="1"/>
  <c r="W4" i="26"/>
  <c r="U4" i="26"/>
  <c r="R4" i="26"/>
  <c r="K4" i="26"/>
  <c r="G4" i="26"/>
  <c r="T4" i="26" s="1"/>
  <c r="E4" i="26"/>
  <c r="D4" i="26"/>
  <c r="L4" i="26" s="1"/>
  <c r="W3" i="26"/>
  <c r="U3" i="26"/>
  <c r="T3" i="26"/>
  <c r="R3" i="26"/>
  <c r="L3" i="26"/>
  <c r="K3" i="26"/>
  <c r="G3" i="26"/>
  <c r="E3" i="26"/>
  <c r="D3" i="26"/>
  <c r="B35" i="22"/>
  <c r="B34" i="22"/>
  <c r="B33" i="22"/>
  <c r="I9" i="22"/>
  <c r="D23" i="22" s="1"/>
  <c r="E23" i="22" s="1"/>
  <c r="I20" i="13" s="1"/>
  <c r="L11" i="26" l="1"/>
  <c r="L9" i="26"/>
  <c r="D33" i="22"/>
  <c r="E33" i="22" s="1"/>
  <c r="I35" i="13" s="1"/>
  <c r="D35" i="22"/>
  <c r="E35" i="22" s="1"/>
  <c r="I34" i="13" s="1"/>
  <c r="D34" i="22"/>
  <c r="E34" i="22" s="1"/>
  <c r="I33" i="13" s="1"/>
  <c r="D22" i="22"/>
  <c r="E22" i="22" s="1"/>
  <c r="I19" i="13" s="1"/>
  <c r="D21" i="22"/>
  <c r="E21" i="22" s="1"/>
  <c r="I18" i="13" s="1"/>
  <c r="D27" i="22"/>
  <c r="E27" i="22" s="1"/>
  <c r="I27" i="13" s="1"/>
  <c r="D26" i="22"/>
  <c r="E26" i="22" s="1"/>
  <c r="I25" i="13" s="1"/>
  <c r="D28" i="22"/>
  <c r="E28" i="22" s="1"/>
  <c r="I28" i="13" s="1"/>
  <c r="D25" i="22"/>
  <c r="E25" i="22" s="1"/>
  <c r="I23" i="13" s="1"/>
  <c r="D24" i="22"/>
  <c r="E24" i="22" s="1"/>
  <c r="I21" i="13" s="1"/>
  <c r="C13" i="22" l="1"/>
  <c r="E13" i="22" s="1"/>
  <c r="F13" i="22" s="1"/>
  <c r="I10" i="13" s="1"/>
  <c r="C14" i="22"/>
  <c r="E14" i="22" s="1"/>
  <c r="F14" i="22" s="1"/>
  <c r="I11" i="13" s="1"/>
  <c r="C15" i="22"/>
  <c r="E15" i="22" s="1"/>
  <c r="F15" i="22" s="1"/>
  <c r="C16" i="22"/>
  <c r="E16" i="22" s="1"/>
  <c r="F16" i="22" s="1"/>
  <c r="I16" i="13" s="1"/>
  <c r="C12" i="22"/>
  <c r="E12" i="22" s="1"/>
  <c r="F12" i="22" s="1"/>
  <c r="I9" i="13" s="1"/>
  <c r="G16" i="13"/>
  <c r="H16" i="13" s="1"/>
  <c r="H10" i="13"/>
  <c r="H9" i="13"/>
  <c r="G13" i="13"/>
  <c r="H13" i="13" s="1"/>
  <c r="G12" i="13"/>
  <c r="H12" i="13" s="1"/>
  <c r="G11" i="13"/>
  <c r="H11" i="13" s="1"/>
  <c r="G10" i="13"/>
  <c r="G9" i="13"/>
  <c r="E31" i="13"/>
  <c r="D31" i="13"/>
  <c r="E28" i="13"/>
  <c r="D28" i="13"/>
  <c r="D20" i="13"/>
  <c r="E20" i="13"/>
  <c r="D21" i="13"/>
  <c r="E21" i="13"/>
  <c r="D22" i="13"/>
  <c r="E22" i="13"/>
  <c r="D23" i="13"/>
  <c r="E23" i="13"/>
  <c r="D24" i="13"/>
  <c r="E24" i="13"/>
  <c r="D25" i="13"/>
  <c r="E25" i="13"/>
  <c r="D26" i="13"/>
  <c r="E26" i="13"/>
  <c r="D27" i="13"/>
  <c r="E27" i="13"/>
  <c r="E19" i="13"/>
  <c r="D19" i="13"/>
  <c r="E18" i="13"/>
  <c r="D18" i="13"/>
  <c r="C28" i="13"/>
  <c r="C20" i="13"/>
  <c r="C21" i="13"/>
  <c r="C22" i="13"/>
  <c r="C23" i="13"/>
  <c r="C24" i="13"/>
  <c r="C25" i="13"/>
  <c r="C26" i="13"/>
  <c r="C27" i="13"/>
  <c r="C19" i="13"/>
  <c r="C18" i="13"/>
  <c r="E15" i="9"/>
  <c r="F5" i="9"/>
  <c r="F15" i="9"/>
  <c r="H15" i="9"/>
  <c r="G15" i="9"/>
  <c r="E16" i="13"/>
  <c r="D16" i="13"/>
  <c r="D10" i="13"/>
  <c r="E10" i="13"/>
  <c r="D11" i="13"/>
  <c r="E11" i="13"/>
  <c r="D12" i="13"/>
  <c r="E12" i="13"/>
  <c r="D13" i="13"/>
  <c r="E13" i="13"/>
  <c r="D14" i="13"/>
  <c r="E14" i="13"/>
  <c r="D15" i="13"/>
  <c r="E15" i="13"/>
  <c r="E9" i="13"/>
  <c r="D9" i="13"/>
  <c r="C35" i="13"/>
  <c r="C34" i="13"/>
  <c r="C33" i="13"/>
  <c r="C16" i="13"/>
  <c r="C12" i="13"/>
  <c r="C13" i="13"/>
  <c r="C14" i="13"/>
  <c r="C15" i="13"/>
  <c r="C11" i="13"/>
  <c r="C10" i="13"/>
  <c r="C9" i="13"/>
  <c r="I40" i="4"/>
  <c r="F40" i="4"/>
  <c r="L41" i="4"/>
  <c r="C40" i="4"/>
  <c r="I12" i="13" l="1"/>
  <c r="I13" i="13"/>
  <c r="C10" i="4"/>
  <c r="C30" i="4" s="1"/>
  <c r="C11" i="4"/>
  <c r="C31" i="4" s="1"/>
  <c r="C12" i="4"/>
  <c r="C32" i="4" s="1"/>
  <c r="C13" i="4"/>
  <c r="C33" i="4" s="1"/>
  <c r="C14" i="4"/>
  <c r="C34" i="4" s="1"/>
  <c r="C35" i="4" s="1"/>
  <c r="C16" i="4"/>
  <c r="C19" i="4"/>
  <c r="C20" i="4"/>
  <c r="C23" i="4"/>
  <c r="C27" i="25"/>
  <c r="D27" i="25" s="1"/>
  <c r="C26" i="25"/>
  <c r="D26" i="25" s="1"/>
  <c r="E25" i="25"/>
  <c r="F24" i="25"/>
  <c r="D24" i="25"/>
  <c r="H24" i="25" s="1"/>
  <c r="E23" i="25"/>
  <c r="F22" i="25"/>
  <c r="D22" i="25"/>
  <c r="G22" i="25" s="1"/>
  <c r="E21" i="25"/>
  <c r="F20" i="25"/>
  <c r="D20" i="25"/>
  <c r="H20" i="25" s="1"/>
  <c r="G19" i="25"/>
  <c r="E19" i="25"/>
  <c r="D19" i="25"/>
  <c r="H19" i="25" s="1"/>
  <c r="F18" i="25"/>
  <c r="E18" i="25"/>
  <c r="D18" i="25"/>
  <c r="G18" i="25" s="1"/>
  <c r="A10" i="25"/>
  <c r="D25" i="25" s="1"/>
  <c r="B52" i="23"/>
  <c r="B51" i="23"/>
  <c r="F38" i="23"/>
  <c r="A31" i="23"/>
  <c r="A8" i="23"/>
  <c r="A32" i="23" l="1"/>
  <c r="C39" i="4"/>
  <c r="C36" i="4"/>
  <c r="C38" i="4"/>
  <c r="C37" i="4"/>
  <c r="C15" i="4"/>
  <c r="D39" i="23"/>
  <c r="D40" i="23" s="1"/>
  <c r="D38" i="23"/>
  <c r="H25" i="25"/>
  <c r="G25" i="25"/>
  <c r="F26" i="25"/>
  <c r="H26" i="25" s="1"/>
  <c r="E26" i="25"/>
  <c r="G26" i="25" s="1"/>
  <c r="G39" i="23"/>
  <c r="G40" i="23" s="1"/>
  <c r="G38" i="23"/>
  <c r="E38" i="23"/>
  <c r="E39" i="23"/>
  <c r="E40" i="23" s="1"/>
  <c r="F27" i="25"/>
  <c r="H27" i="25" s="1"/>
  <c r="E27" i="25"/>
  <c r="G27" i="25" s="1"/>
  <c r="H18" i="25"/>
  <c r="G20" i="25"/>
  <c r="F21" i="25"/>
  <c r="E22" i="25"/>
  <c r="D23" i="25"/>
  <c r="G24" i="25"/>
  <c r="F25" i="25"/>
  <c r="H22" i="25"/>
  <c r="F39" i="23"/>
  <c r="F40" i="23" s="1"/>
  <c r="F19" i="25"/>
  <c r="E20" i="25"/>
  <c r="D21" i="25"/>
  <c r="F23" i="25"/>
  <c r="E24" i="25"/>
  <c r="C50" i="23" l="1"/>
  <c r="D50" i="23"/>
  <c r="C39" i="23"/>
  <c r="C40" i="23" s="1"/>
  <c r="C38" i="23"/>
  <c r="H21" i="25"/>
  <c r="G21" i="25"/>
  <c r="G23" i="25"/>
  <c r="H23" i="25"/>
  <c r="B38" i="23"/>
  <c r="B39" i="23"/>
  <c r="B40" i="23" s="1"/>
  <c r="D52" i="23" l="1"/>
  <c r="D51" i="23"/>
  <c r="C51" i="23"/>
  <c r="E50" i="23"/>
  <c r="E51" i="23" s="1"/>
  <c r="C52" i="23"/>
  <c r="E52" i="23" s="1"/>
  <c r="A2" i="9"/>
  <c r="E35" i="13" l="1"/>
  <c r="D35" i="13"/>
  <c r="E34" i="13"/>
  <c r="D34" i="13"/>
  <c r="E33" i="13"/>
  <c r="D33" i="13"/>
  <c r="E30" i="13"/>
  <c r="D30" i="13"/>
  <c r="H34" i="13"/>
  <c r="G34" i="13"/>
  <c r="H33" i="13"/>
  <c r="G33" i="13"/>
  <c r="H35" i="13"/>
  <c r="G35" i="13"/>
  <c r="D26" i="21"/>
  <c r="D25" i="21"/>
  <c r="D24" i="21"/>
  <c r="E31" i="21"/>
  <c r="D23" i="21"/>
  <c r="D22" i="21"/>
  <c r="E29" i="21"/>
  <c r="D21" i="21"/>
  <c r="E26" i="21"/>
  <c r="C26" i="21"/>
  <c r="C25" i="21"/>
  <c r="C24" i="21"/>
  <c r="C23" i="21"/>
  <c r="C22" i="21"/>
  <c r="C21" i="21"/>
  <c r="E23" i="21"/>
  <c r="I22" i="4"/>
  <c r="I42" i="4" s="1"/>
  <c r="I21" i="4"/>
  <c r="F22" i="4"/>
  <c r="F42" i="4" s="1"/>
  <c r="F21" i="4"/>
  <c r="G19" i="21"/>
  <c r="G20" i="21"/>
  <c r="E12" i="15"/>
  <c r="E28" i="15" s="1"/>
  <c r="E29" i="15" s="1"/>
  <c r="E30" i="15" s="1"/>
  <c r="J12" i="13" s="1"/>
  <c r="I20" i="4"/>
  <c r="I19" i="4"/>
  <c r="I39" i="4" s="1"/>
  <c r="I16" i="4"/>
  <c r="I14" i="4"/>
  <c r="I34" i="4" s="1"/>
  <c r="I13" i="4"/>
  <c r="I33" i="4" s="1"/>
  <c r="I12" i="4"/>
  <c r="I32" i="4" s="1"/>
  <c r="I11" i="4"/>
  <c r="I31" i="4" s="1"/>
  <c r="I10" i="4"/>
  <c r="I30" i="4" s="1"/>
  <c r="F19" i="4"/>
  <c r="F39" i="4" s="1"/>
  <c r="F11" i="4"/>
  <c r="F31" i="4" s="1"/>
  <c r="F10" i="4"/>
  <c r="F30" i="4" s="1"/>
  <c r="F12" i="4"/>
  <c r="F32" i="4" s="1"/>
  <c r="F20" i="4"/>
  <c r="L40" i="4" s="1"/>
  <c r="F14" i="4"/>
  <c r="F15" i="4" s="1"/>
  <c r="I15" i="4" s="1"/>
  <c r="I35" i="4" s="1"/>
  <c r="F13" i="4"/>
  <c r="F33" i="4" s="1"/>
  <c r="C43" i="2"/>
  <c r="C23" i="2"/>
  <c r="C49" i="2"/>
  <c r="C47" i="2"/>
  <c r="C29" i="2"/>
  <c r="C27" i="2"/>
  <c r="C45" i="2"/>
  <c r="C41" i="2"/>
  <c r="C25" i="2"/>
  <c r="C21" i="2"/>
  <c r="C39" i="2"/>
  <c r="C19" i="2"/>
  <c r="C37" i="2"/>
  <c r="C17" i="2"/>
  <c r="C35" i="2"/>
  <c r="C15" i="2"/>
  <c r="C99" i="2"/>
  <c r="C97" i="2"/>
  <c r="C95" i="2"/>
  <c r="C93" i="2"/>
  <c r="C91" i="2"/>
  <c r="C89" i="2"/>
  <c r="C87" i="2"/>
  <c r="K29" i="5" s="1"/>
  <c r="C85" i="2"/>
  <c r="C83" i="2"/>
  <c r="C81" i="2"/>
  <c r="C75" i="2"/>
  <c r="C73" i="2"/>
  <c r="C71" i="2"/>
  <c r="C69" i="2"/>
  <c r="C67" i="2"/>
  <c r="C65" i="2"/>
  <c r="C63" i="2"/>
  <c r="C61" i="2"/>
  <c r="C59" i="2"/>
  <c r="C57" i="2"/>
  <c r="C77" i="2"/>
  <c r="K12" i="3"/>
  <c r="C53" i="2"/>
  <c r="H12" i="3" s="1"/>
  <c r="C20" i="9"/>
  <c r="C19" i="9"/>
  <c r="C18" i="9"/>
  <c r="C17" i="9"/>
  <c r="C16" i="9"/>
  <c r="C14" i="9"/>
  <c r="C13" i="9"/>
  <c r="C12" i="9"/>
  <c r="C11" i="9"/>
  <c r="C10" i="9"/>
  <c r="A1" i="13"/>
  <c r="C31" i="2"/>
  <c r="E12" i="3" s="1"/>
  <c r="E14" i="3" s="1"/>
  <c r="C11" i="2"/>
  <c r="B12" i="3"/>
  <c r="H13" i="3"/>
  <c r="H14" i="3" s="1"/>
  <c r="K13" i="3"/>
  <c r="H5" i="9" s="1"/>
  <c r="B13" i="3"/>
  <c r="E5" i="9"/>
  <c r="E13" i="9" s="1"/>
  <c r="E13" i="3"/>
  <c r="G21" i="5"/>
  <c r="F21" i="5"/>
  <c r="J29" i="5"/>
  <c r="F16" i="4"/>
  <c r="C21" i="16"/>
  <c r="F31" i="13"/>
  <c r="C22" i="16"/>
  <c r="E16" i="15"/>
  <c r="C146" i="2"/>
  <c r="C150" i="2" s="1"/>
  <c r="C147" i="2"/>
  <c r="W1" i="3" s="1"/>
  <c r="A3" i="9"/>
  <c r="A2" i="13"/>
  <c r="E22" i="15"/>
  <c r="E25" i="15" s="1"/>
  <c r="E27" i="15"/>
  <c r="F23" i="4"/>
  <c r="F38" i="4" s="1"/>
  <c r="E14" i="9"/>
  <c r="B14" i="3"/>
  <c r="F34" i="4" l="1"/>
  <c r="L34" i="4" s="1"/>
  <c r="L32" i="4"/>
  <c r="L42" i="4"/>
  <c r="L39" i="4"/>
  <c r="L30" i="4"/>
  <c r="L33" i="4"/>
  <c r="L31" i="4"/>
  <c r="F35" i="4"/>
  <c r="L35" i="4" s="1"/>
  <c r="F36" i="4"/>
  <c r="J13" i="13"/>
  <c r="E26" i="15"/>
  <c r="E20" i="9"/>
  <c r="E12" i="9"/>
  <c r="F20" i="9"/>
  <c r="F17" i="9"/>
  <c r="F12" i="9"/>
  <c r="F19" i="9"/>
  <c r="F13" i="9"/>
  <c r="F10" i="9"/>
  <c r="F18" i="9"/>
  <c r="F16" i="9"/>
  <c r="F11" i="9"/>
  <c r="F14" i="9"/>
  <c r="I23" i="4"/>
  <c r="I36" i="4" s="1"/>
  <c r="H17" i="9"/>
  <c r="H13" i="9"/>
  <c r="H19" i="9"/>
  <c r="H20" i="9"/>
  <c r="H16" i="9"/>
  <c r="H10" i="9"/>
  <c r="H18" i="9"/>
  <c r="H12" i="9"/>
  <c r="H14" i="9"/>
  <c r="H11" i="9"/>
  <c r="C156" i="2"/>
  <c r="E19" i="9"/>
  <c r="E17" i="9"/>
  <c r="F37" i="4"/>
  <c r="E16" i="9"/>
  <c r="K14" i="3"/>
  <c r="E10" i="9"/>
  <c r="E11" i="9"/>
  <c r="E18" i="9"/>
  <c r="G5" i="9"/>
  <c r="L36" i="4" l="1"/>
  <c r="J14" i="13"/>
  <c r="I37" i="4"/>
  <c r="L37" i="4" s="1"/>
  <c r="I38" i="4"/>
  <c r="L38" i="4" s="1"/>
  <c r="G10" i="9"/>
  <c r="I10" i="9" s="1"/>
  <c r="I15" i="9"/>
  <c r="G17" i="9"/>
  <c r="G16" i="9"/>
  <c r="I16" i="9" s="1"/>
  <c r="G20" i="9"/>
  <c r="I20" i="9" s="1"/>
  <c r="G18" i="9"/>
  <c r="G13" i="9"/>
  <c r="I13" i="9" s="1"/>
  <c r="G12" i="9"/>
  <c r="I12" i="9" s="1"/>
  <c r="G11" i="9"/>
  <c r="G14" i="9"/>
  <c r="I14" i="9" s="1"/>
  <c r="G19" i="9"/>
  <c r="I19" i="9" s="1"/>
  <c r="I17" i="9"/>
  <c r="I11" i="9"/>
  <c r="I18" i="9"/>
  <c r="C159" i="2"/>
  <c r="C152" i="2"/>
  <c r="A3" i="4" l="1"/>
  <c r="A4" i="3" s="1"/>
  <c r="A4" i="5"/>
  <c r="I21" i="9"/>
</calcChain>
</file>

<file path=xl/sharedStrings.xml><?xml version="1.0" encoding="utf-8"?>
<sst xmlns="http://schemas.openxmlformats.org/spreadsheetml/2006/main" count="988" uniqueCount="424">
  <si>
    <t>SPRINGDALE ENERGY, LLC</t>
  </si>
  <si>
    <t>SPRINGDALE POWER STATION</t>
  </si>
  <si>
    <t>ANNUAL EMISSIONS CALCULATIONS</t>
  </si>
  <si>
    <t>INPUT DATA</t>
  </si>
  <si>
    <t>User Input of Required Parameter Values:</t>
  </si>
  <si>
    <t>Source</t>
  </si>
  <si>
    <t>Parameter</t>
  </si>
  <si>
    <t>Value</t>
  </si>
  <si>
    <t>Comments</t>
  </si>
  <si>
    <t>Unit No. 1</t>
  </si>
  <si>
    <t>Annual Natural Gas Fired</t>
  </si>
  <si>
    <t>Mcf/yr</t>
  </si>
  <si>
    <t xml:space="preserve">Based on HV = 1045 btu/scf </t>
  </si>
  <si>
    <t>Max. Annual Heat Input</t>
  </si>
  <si>
    <t>MMBtu/yr</t>
  </si>
  <si>
    <t>424.4 MMBTU/Hr x 4450 hrs/yr</t>
  </si>
  <si>
    <t>Annual Operating Hours</t>
  </si>
  <si>
    <t>hrs/yr</t>
  </si>
  <si>
    <t>TVOP Limit (Combined AE 1 &amp; 2)</t>
  </si>
  <si>
    <t>NOx Emission Factor</t>
  </si>
  <si>
    <t>lbs/hr</t>
  </si>
  <si>
    <t>TVOP hourly per-unit limit</t>
  </si>
  <si>
    <t>NOx PTE Emissions</t>
  </si>
  <si>
    <t>tons/yr</t>
  </si>
  <si>
    <t>Hourly Limit @ 4450 hrs/yr</t>
  </si>
  <si>
    <r>
      <t>SO</t>
    </r>
    <r>
      <rPr>
        <vertAlign val="subscript"/>
        <sz val="12"/>
        <rFont val="Helv"/>
      </rPr>
      <t>2</t>
    </r>
    <r>
      <rPr>
        <sz val="12"/>
        <rFont val="Helv"/>
      </rPr>
      <t xml:space="preserve"> Emission Factor</t>
    </r>
  </si>
  <si>
    <r>
      <t>SO</t>
    </r>
    <r>
      <rPr>
        <vertAlign val="subscript"/>
        <sz val="12"/>
        <rFont val="Helv"/>
      </rPr>
      <t>2</t>
    </r>
    <r>
      <rPr>
        <sz val="12"/>
        <rFont val="Helv"/>
      </rPr>
      <t xml:space="preserve"> PTE Emissions</t>
    </r>
  </si>
  <si>
    <r>
      <t>CO</t>
    </r>
    <r>
      <rPr>
        <vertAlign val="subscript"/>
        <sz val="12"/>
        <rFont val="Helv"/>
      </rPr>
      <t>2</t>
    </r>
    <r>
      <rPr>
        <sz val="12"/>
        <rFont val="Helv"/>
      </rPr>
      <t xml:space="preserve">  Emission Factor</t>
    </r>
  </si>
  <si>
    <t>lbs/MMBtu</t>
  </si>
  <si>
    <t>AP-42, Table 3.1-2a</t>
  </si>
  <si>
    <r>
      <t>CO</t>
    </r>
    <r>
      <rPr>
        <vertAlign val="subscript"/>
        <sz val="12"/>
        <rFont val="Helv"/>
      </rPr>
      <t>2</t>
    </r>
    <r>
      <rPr>
        <sz val="12"/>
        <rFont val="Helv"/>
      </rPr>
      <t xml:space="preserve"> PTE Emissions</t>
    </r>
  </si>
  <si>
    <t>AP-42 EF @ 4450 hrs/yr</t>
  </si>
  <si>
    <r>
      <t>PM/PM</t>
    </r>
    <r>
      <rPr>
        <vertAlign val="subscript"/>
        <sz val="12"/>
        <rFont val="Helv"/>
      </rPr>
      <t>10</t>
    </r>
    <r>
      <rPr>
        <sz val="12"/>
        <rFont val="Helv"/>
      </rPr>
      <t xml:space="preserve"> Emission Factor</t>
    </r>
  </si>
  <si>
    <r>
      <t>PM/PM</t>
    </r>
    <r>
      <rPr>
        <vertAlign val="subscript"/>
        <sz val="12"/>
        <rFont val="Helv"/>
      </rPr>
      <t>10</t>
    </r>
    <r>
      <rPr>
        <sz val="12"/>
        <rFont val="Helv"/>
      </rPr>
      <t xml:space="preserve"> PTE Emissions</t>
    </r>
  </si>
  <si>
    <t>Condensable PM Emission Factor</t>
  </si>
  <si>
    <t>Condensable PM PTE Emissions</t>
  </si>
  <si>
    <t>VOC Emission Factor</t>
  </si>
  <si>
    <t>VOC PTE Emissions</t>
  </si>
  <si>
    <t>CO Emission Factor</t>
  </si>
  <si>
    <t>CO PTE Emissions</t>
  </si>
  <si>
    <t>Formaldehyde Emission Factor</t>
  </si>
  <si>
    <t>Formaldehyde PTE Emissions</t>
  </si>
  <si>
    <t>Unit No. 2</t>
  </si>
  <si>
    <t>Based on HV = 1045 btu/scf</t>
  </si>
  <si>
    <t>TVOP Limit (combined AE 1 &amp; 2)</t>
  </si>
  <si>
    <t>Ap-42 EF @ 4450 hrs/yr</t>
  </si>
  <si>
    <t>Unit No. 3</t>
  </si>
  <si>
    <t>2094 MMBTU/Hr x 8760 Hrs/yr</t>
  </si>
  <si>
    <t>Maximum hours per year (non-leap year)</t>
  </si>
  <si>
    <t>Hourly limit @ 8760 (no SU/SD)</t>
  </si>
  <si>
    <r>
      <t>CO</t>
    </r>
    <r>
      <rPr>
        <vertAlign val="subscript"/>
        <sz val="12"/>
        <rFont val="Helv"/>
      </rPr>
      <t>2</t>
    </r>
    <r>
      <rPr>
        <sz val="12"/>
        <rFont val="Helv"/>
      </rPr>
      <t xml:space="preserve"> Emission Factor</t>
    </r>
  </si>
  <si>
    <r>
      <t>TPU Spec Sheet @ -5</t>
    </r>
    <r>
      <rPr>
        <vertAlign val="superscript"/>
        <sz val="12"/>
        <rFont val="Helv"/>
      </rPr>
      <t>o</t>
    </r>
    <r>
      <rPr>
        <sz val="12"/>
        <rFont val="Helv"/>
      </rPr>
      <t xml:space="preserve"> F (worst-case)</t>
    </r>
  </si>
  <si>
    <t>TPU Spec Sheet factor @ 8760 hrs/yr</t>
  </si>
  <si>
    <r>
      <t>NH</t>
    </r>
    <r>
      <rPr>
        <vertAlign val="subscript"/>
        <sz val="12"/>
        <rFont val="Helv"/>
      </rPr>
      <t>3</t>
    </r>
    <r>
      <rPr>
        <sz val="12"/>
        <rFont val="Helv"/>
      </rPr>
      <t xml:space="preserve"> Emission Factor</t>
    </r>
  </si>
  <si>
    <t>lb/hr</t>
  </si>
  <si>
    <r>
      <t>NH</t>
    </r>
    <r>
      <rPr>
        <vertAlign val="subscript"/>
        <sz val="12"/>
        <rFont val="Helv"/>
      </rPr>
      <t xml:space="preserve">3  </t>
    </r>
    <r>
      <rPr>
        <sz val="12"/>
        <rFont val="Helv"/>
      </rPr>
      <t>PTE</t>
    </r>
    <r>
      <rPr>
        <vertAlign val="subscript"/>
        <sz val="12"/>
        <rFont val="Helv"/>
      </rPr>
      <t xml:space="preserve"> </t>
    </r>
    <r>
      <rPr>
        <sz val="12"/>
        <rFont val="Helv"/>
      </rPr>
      <t xml:space="preserve"> Emissions </t>
    </r>
  </si>
  <si>
    <t>Hourly limit @ 8760 hrs</t>
  </si>
  <si>
    <t>lb/MMBtu</t>
  </si>
  <si>
    <t>Stack Test August 2012</t>
  </si>
  <si>
    <t>Stack Test Results @ 8760 hrs/yr</t>
  </si>
  <si>
    <t>Sulfuric Acid Mist Emission Factor</t>
  </si>
  <si>
    <t>Sulfuric Acid Mist PTE Emissions</t>
  </si>
  <si>
    <t>Unit No. 4</t>
  </si>
  <si>
    <t>All Units</t>
  </si>
  <si>
    <t>Natural Gas Average Heating Value</t>
  </si>
  <si>
    <t>BTU/scf</t>
  </si>
  <si>
    <t>PGADs HHV - CY2013 Average</t>
  </si>
  <si>
    <t>Misc</t>
  </si>
  <si>
    <t>TVOP 0580 Renewal</t>
  </si>
  <si>
    <t>PTE CALCULATIONS</t>
  </si>
  <si>
    <t>*  Reminder:  make sure to include startup/shutdown emissions to these totals</t>
  </si>
  <si>
    <t>Annual Hours No. 2 Oil Fired</t>
  </si>
  <si>
    <t>hours/year</t>
  </si>
  <si>
    <t>Annual No. 2 Oil Fired</t>
  </si>
  <si>
    <t>gal/yr</t>
  </si>
  <si>
    <t>Total Annual Fuel Use :</t>
  </si>
  <si>
    <t>Annual Kerosene Fired</t>
  </si>
  <si>
    <t>Avg. Annual Hours of Operation for:</t>
  </si>
  <si>
    <t>100 kBtu/hr Heaters</t>
  </si>
  <si>
    <t>avg hours/year/heater</t>
  </si>
  <si>
    <t>150 kBtu/hr Heaters</t>
  </si>
  <si>
    <t>320 kBtu/hr Heaters</t>
  </si>
  <si>
    <t>Year (for Headers)</t>
  </si>
  <si>
    <t>350 kBtu/hr Heaters</t>
  </si>
  <si>
    <t>Date</t>
  </si>
  <si>
    <t>1995 EMISSIONS SUMMARY</t>
  </si>
  <si>
    <t xml:space="preserve"> </t>
  </si>
  <si>
    <t>SPDL 
lb/hr limits</t>
  </si>
  <si>
    <t>SPDL 
ton/year limits</t>
  </si>
  <si>
    <t>Table VIII-2 in IP5
Emissions for Units 3&amp;4, cooling tower and ammonia tank</t>
  </si>
  <si>
    <t>Combined Emissions Table in rv5 
(TSD for IP5)
Units 1-4, cooling tower and ammonia tank</t>
  </si>
  <si>
    <t>Pollutant</t>
  </si>
  <si>
    <t>Unit 1 and 2
Natural Gas
lb/hr each</t>
  </si>
  <si>
    <t>Unit 1 and 2
Fuel Oil
lb/hr each</t>
  </si>
  <si>
    <t>Unit 1 and 2
Natural Gas
lb/hr combined</t>
  </si>
  <si>
    <t>Unit 1 and 2
Fuel Oil
lb/hr combined</t>
  </si>
  <si>
    <t>Unit 3 and 4 
lb/hr each</t>
  </si>
  <si>
    <t>Unit 3 and 4
lb/hr combined</t>
  </si>
  <si>
    <t xml:space="preserve">Cooling Tower </t>
  </si>
  <si>
    <t>Ammonia tank</t>
  </si>
  <si>
    <t>EG01 and EG02
lb/hr each</t>
  </si>
  <si>
    <t>EG01 and EG02
lb/hr total</t>
  </si>
  <si>
    <r>
      <t>Total SPDL Combined</t>
    </r>
    <r>
      <rPr>
        <b/>
        <vertAlign val="superscript"/>
        <sz val="11"/>
        <color theme="1"/>
        <rFont val="Aptos"/>
        <family val="2"/>
      </rPr>
      <t>1</t>
    </r>
    <r>
      <rPr>
        <b/>
        <sz val="11"/>
        <color theme="1"/>
        <rFont val="Aptos"/>
        <family val="2"/>
      </rPr>
      <t xml:space="preserve">
lb/hr</t>
    </r>
  </si>
  <si>
    <t>Unit 1 and 2</t>
  </si>
  <si>
    <t xml:space="preserve">Unit 3 and 4 </t>
  </si>
  <si>
    <t xml:space="preserve">Ammonia Tank </t>
  </si>
  <si>
    <t>EG01 and EG02</t>
  </si>
  <si>
    <t>Total SPDL Combined Annual 
ton/year</t>
  </si>
  <si>
    <t>Hourly Emission Limit 
lb/hr total</t>
  </si>
  <si>
    <t>Annual Emissions
tpy</t>
  </si>
  <si>
    <t>Combined tons/year</t>
  </si>
  <si>
    <t>Particulate Matter (PM)</t>
  </si>
  <si>
    <r>
      <t>Particulate Matter (PM</t>
    </r>
    <r>
      <rPr>
        <vertAlign val="subscript"/>
        <sz val="11"/>
        <color theme="1"/>
        <rFont val="Aptos"/>
        <family val="2"/>
      </rPr>
      <t>10</t>
    </r>
    <r>
      <rPr>
        <sz val="11"/>
        <color theme="1"/>
        <rFont val="Aptos"/>
        <family val="2"/>
      </rPr>
      <t>)</t>
    </r>
  </si>
  <si>
    <r>
      <t>Sulfur oxides (SO</t>
    </r>
    <r>
      <rPr>
        <vertAlign val="subscript"/>
        <sz val="11"/>
        <color theme="1"/>
        <rFont val="Aptos"/>
        <family val="2"/>
      </rPr>
      <t>X</t>
    </r>
    <r>
      <rPr>
        <sz val="11"/>
        <color theme="1"/>
        <rFont val="Aptos"/>
        <family val="2"/>
      </rPr>
      <t>)</t>
    </r>
  </si>
  <si>
    <r>
      <t>Nitrogen oxides (NO</t>
    </r>
    <r>
      <rPr>
        <vertAlign val="subscript"/>
        <sz val="11"/>
        <color theme="1"/>
        <rFont val="Aptos"/>
        <family val="2"/>
      </rPr>
      <t>X</t>
    </r>
    <r>
      <rPr>
        <sz val="11"/>
        <color theme="1"/>
        <rFont val="Aptos"/>
        <family val="2"/>
      </rPr>
      <t>)</t>
    </r>
  </si>
  <si>
    <t>Carbon monoxide (CO)</t>
  </si>
  <si>
    <t>Volatile organic compounds (VOC)</t>
  </si>
  <si>
    <t>Sulfuric Acid Mist</t>
  </si>
  <si>
    <t>Formaldehyde</t>
  </si>
  <si>
    <t>Ammonia</t>
  </si>
  <si>
    <t>1. For the Total SPDL combined lb/hr for Unit 1 and 2 the worst case between natural gas and fuel oil is used.</t>
  </si>
  <si>
    <t>UNITS 1&amp;2 and 3,4 &amp; 5: ANNUAL CRITERIA AIR POLLUTANT EMISSIONS</t>
  </si>
  <si>
    <t>Natural Gas Usage Characteristics</t>
  </si>
  <si>
    <t>UNIT NO. 1</t>
  </si>
  <si>
    <t>UNIT NO. 2</t>
  </si>
  <si>
    <t>UNIT NO. 3</t>
  </si>
  <si>
    <t>UNIT NO. 4</t>
  </si>
  <si>
    <t/>
  </si>
  <si>
    <t xml:space="preserve">     Natural Gas</t>
  </si>
  <si>
    <t>Yearly Qty. Fuel Burned</t>
  </si>
  <si>
    <t>MMcf</t>
  </si>
  <si>
    <t>Yearly Amt. Heat Input</t>
  </si>
  <si>
    <t>MMBtu</t>
  </si>
  <si>
    <t>Calculated Btu/scf</t>
  </si>
  <si>
    <t>Btu/scf</t>
  </si>
  <si>
    <t>PTE - GHG &amp; CRITERIA AIR POLLUTANT EMISSIONS</t>
  </si>
  <si>
    <t xml:space="preserve">PTE Emission Factors </t>
  </si>
  <si>
    <t>UNIT NOs. 1 &amp; 2</t>
  </si>
  <si>
    <t>Natural Gas/Oil</t>
  </si>
  <si>
    <t>Natural Gas</t>
  </si>
  <si>
    <t>NOx</t>
  </si>
  <si>
    <t>( c)(f)</t>
  </si>
  <si>
    <t>(c)</t>
  </si>
  <si>
    <t>CO</t>
  </si>
  <si>
    <r>
      <t>SO</t>
    </r>
    <r>
      <rPr>
        <b/>
        <vertAlign val="subscript"/>
        <sz val="18"/>
        <rFont val="Aptos"/>
        <family val="2"/>
      </rPr>
      <t>2</t>
    </r>
  </si>
  <si>
    <t>PM*</t>
  </si>
  <si>
    <r>
      <t>PM</t>
    </r>
    <r>
      <rPr>
        <b/>
        <vertAlign val="subscript"/>
        <sz val="18"/>
        <rFont val="Aptos"/>
        <family val="2"/>
      </rPr>
      <t>10</t>
    </r>
    <r>
      <rPr>
        <b/>
        <sz val="18"/>
        <rFont val="Aptos"/>
        <family val="2"/>
      </rPr>
      <t>*</t>
    </r>
  </si>
  <si>
    <r>
      <t>PM</t>
    </r>
    <r>
      <rPr>
        <b/>
        <vertAlign val="subscript"/>
        <sz val="18"/>
        <rFont val="Aptos"/>
        <family val="2"/>
      </rPr>
      <t>2.5</t>
    </r>
    <r>
      <rPr>
        <b/>
        <sz val="18"/>
        <rFont val="Aptos"/>
        <family val="2"/>
      </rPr>
      <t>*</t>
    </r>
  </si>
  <si>
    <r>
      <t>PM</t>
    </r>
    <r>
      <rPr>
        <b/>
        <vertAlign val="subscript"/>
        <sz val="18"/>
        <rFont val="Aptos"/>
        <family val="2"/>
      </rPr>
      <t>COND</t>
    </r>
  </si>
  <si>
    <t>(a)</t>
  </si>
  <si>
    <t>(d)</t>
  </si>
  <si>
    <r>
      <t>CH</t>
    </r>
    <r>
      <rPr>
        <b/>
        <vertAlign val="subscript"/>
        <sz val="18"/>
        <rFont val="Aptos"/>
        <family val="2"/>
      </rPr>
      <t>4</t>
    </r>
  </si>
  <si>
    <t>(b)</t>
  </si>
  <si>
    <r>
      <t>N</t>
    </r>
    <r>
      <rPr>
        <b/>
        <vertAlign val="subscript"/>
        <sz val="18"/>
        <rFont val="Aptos"/>
        <family val="2"/>
      </rPr>
      <t>2</t>
    </r>
    <r>
      <rPr>
        <b/>
        <sz val="18"/>
        <rFont val="Aptos"/>
        <family val="2"/>
      </rPr>
      <t>O</t>
    </r>
  </si>
  <si>
    <r>
      <t>CO</t>
    </r>
    <r>
      <rPr>
        <b/>
        <vertAlign val="subscript"/>
        <sz val="18"/>
        <rFont val="Aptos"/>
        <family val="2"/>
      </rPr>
      <t>2</t>
    </r>
  </si>
  <si>
    <t>(e)</t>
  </si>
  <si>
    <t>VOCs*</t>
  </si>
  <si>
    <r>
      <t>H</t>
    </r>
    <r>
      <rPr>
        <b/>
        <vertAlign val="subscript"/>
        <sz val="18"/>
        <rFont val="Aptos"/>
        <family val="2"/>
      </rPr>
      <t>2</t>
    </r>
    <r>
      <rPr>
        <b/>
        <sz val="18"/>
        <rFont val="Aptos"/>
        <family val="2"/>
      </rPr>
      <t>SO</t>
    </r>
    <r>
      <rPr>
        <b/>
        <vertAlign val="subscript"/>
        <sz val="18"/>
        <rFont val="Aptos"/>
        <family val="2"/>
      </rPr>
      <t>4</t>
    </r>
    <r>
      <rPr>
        <b/>
        <sz val="18"/>
        <rFont val="Aptos"/>
        <family val="2"/>
      </rPr>
      <t xml:space="preserve"> Mist</t>
    </r>
  </si>
  <si>
    <t>Heat Input (MMBtu)</t>
  </si>
  <si>
    <t>Hours of Operation</t>
  </si>
  <si>
    <t>*Does not include SU/SD for Units 3/4; these emissions are accounted for in tons/yr PTE Emissions below</t>
  </si>
  <si>
    <t>PTE Emissions (tons/yr)</t>
  </si>
  <si>
    <t>UNIT NOs. 1 &amp; 2 Combined</t>
  </si>
  <si>
    <t>Facility</t>
  </si>
  <si>
    <t>Total</t>
  </si>
  <si>
    <t>PM</t>
  </si>
  <si>
    <r>
      <t>PM</t>
    </r>
    <r>
      <rPr>
        <b/>
        <vertAlign val="subscript"/>
        <sz val="18"/>
        <rFont val="Aptos"/>
        <family val="2"/>
      </rPr>
      <t>10</t>
    </r>
  </si>
  <si>
    <r>
      <t>PM</t>
    </r>
    <r>
      <rPr>
        <b/>
        <vertAlign val="subscript"/>
        <sz val="18"/>
        <rFont val="Aptos"/>
        <family val="2"/>
      </rPr>
      <t>2.5</t>
    </r>
  </si>
  <si>
    <t>VOC's</t>
  </si>
  <si>
    <t>FOOTNOTES:</t>
  </si>
  <si>
    <t>Condensable PM emission factor for Natural Gas taken from EPA AP-42 Table3.1-2A, Combustion Turbines</t>
  </si>
  <si>
    <t>GHG factors taken from 40 CFR 98, Subpart C, Tables C-1 and C-2, converted to lbs/MMBtu</t>
  </si>
  <si>
    <t>Installation Permit &amp; Title V Operating Permit #0580 limits</t>
  </si>
  <si>
    <t>Stack Test Results</t>
  </si>
  <si>
    <t>TPU Spec Sheet @ - 5 degrees F</t>
  </si>
  <si>
    <t>(f)</t>
  </si>
  <si>
    <t>Installation Permit 0580-I001 limits for fuel oil: SO2 = 22.5 lbs/hr; NOx = 71 lbs/hr;  CO = 6 lbs/hr; PM/PM10 = 17 lbs/hr; VOCs = 1 lb/hr @ 450 hrs/yr max</t>
  </si>
  <si>
    <r>
      <t xml:space="preserve">            </t>
    </r>
    <r>
      <rPr>
        <b/>
        <u/>
        <sz val="14"/>
        <color indexed="20"/>
        <rFont val="Helv"/>
      </rPr>
      <t>UNITS 1 &amp; 2 AND 3, 4 &amp; 5: ANNUAL TRACE AIR POLLUTANT EMISSION FACTORS</t>
    </r>
  </si>
  <si>
    <t>(Sh. 1 of 2)</t>
  </si>
  <si>
    <t>Natural Gas Characteristics</t>
  </si>
  <si>
    <t>PARAMETER</t>
  </si>
  <si>
    <t>Emission Factors</t>
  </si>
  <si>
    <t>(lb/MMBtu )</t>
  </si>
  <si>
    <t>TRACE ELEMENTS</t>
  </si>
  <si>
    <t>(g)</t>
  </si>
  <si>
    <t>(h)</t>
  </si>
  <si>
    <t>1,3-Butadiene</t>
  </si>
  <si>
    <t>-</t>
  </si>
  <si>
    <t>Acetaldehyde</t>
  </si>
  <si>
    <t>Acrolein</t>
  </si>
  <si>
    <t>Benzene</t>
  </si>
  <si>
    <t>Ethylbenzene</t>
  </si>
  <si>
    <t>Naphthalene</t>
  </si>
  <si>
    <t>PAH</t>
  </si>
  <si>
    <t>Propylene Oxide</t>
  </si>
  <si>
    <t>Toluene</t>
  </si>
  <si>
    <t>Xylenes</t>
  </si>
  <si>
    <t>Methane</t>
  </si>
  <si>
    <t xml:space="preserve">Sulfuric Acid Mist  </t>
  </si>
  <si>
    <t>Polycyclic Organic Matter (POM)</t>
  </si>
  <si>
    <t>Emissions factors for stationary gas tubines, AP-42 Table 3.1-3 and Table 3.1-2a</t>
  </si>
  <si>
    <t xml:space="preserve">H2SO4 emission factor from 7/14/03 stack testing @ Unit #3 </t>
  </si>
  <si>
    <t xml:space="preserve">Formaldehyde Emission factor from 8/15/2012 stack testing @ Unit #3 </t>
  </si>
  <si>
    <t xml:space="preserve"> H2SO4 emission factor from 7/14/03 stack testing @ Unit #4 </t>
  </si>
  <si>
    <t xml:space="preserve">Formaldehyde Emission factor from 8/15/2012 stack testing @ Unit #4 </t>
  </si>
  <si>
    <t xml:space="preserve">Formaldehyde Emission factor from 6/5/2000 stack testing @ Units #1 </t>
  </si>
  <si>
    <t xml:space="preserve">Formaldehyde Emission factor from 6/5/2000 stack testing @ Units #2 </t>
  </si>
  <si>
    <t>NH3 emission factor from 8/15/12 stack testing @ Unit #3</t>
  </si>
  <si>
    <t>NH3 emission factor from 8/15/12 stack testing @ Unit #4</t>
  </si>
  <si>
    <t xml:space="preserve"> HAPs PTE Calculations</t>
  </si>
  <si>
    <t>Combustion</t>
  </si>
  <si>
    <t>PTE ANNUAL</t>
  </si>
  <si>
    <t>Turbine</t>
  </si>
  <si>
    <t>EMISSIONS</t>
  </si>
  <si>
    <t>POLLUTANT</t>
  </si>
  <si>
    <t>(ton/yr)</t>
  </si>
  <si>
    <t>HAP</t>
  </si>
  <si>
    <t>(lb/MMBtu)</t>
  </si>
  <si>
    <t>UNIT NO 1</t>
  </si>
  <si>
    <t xml:space="preserve">Total </t>
  </si>
  <si>
    <t>See footnotes</t>
  </si>
  <si>
    <t>(b)( c)</t>
  </si>
  <si>
    <t>Total HAPs</t>
  </si>
  <si>
    <t>Emission factor taken from AP-42, Table 3.1-3 (4/00).</t>
  </si>
  <si>
    <t>Formaldehyde Emissions limit for Unit nos 1 &amp;2 is 3.3 tons/yr combined.</t>
  </si>
  <si>
    <t>Formaldehyde Emissions limit for Unit nos. 3 &amp; 4 is 5.7 tons/yr.</t>
  </si>
  <si>
    <t>Annual Units 1 &amp; 2 maximum per-unit heat input calculated as 424.4 MMBtu/hr x 4,450 hours/yr = 1,888,580 MMBtu/Year</t>
  </si>
  <si>
    <t>Annual Units 3 &amp; 4 maximum per-unit heat input calculated as 2,094 MMBtu/hr x 8,760 hours/yr = 18,343,531 MMBtu/Year</t>
  </si>
  <si>
    <t>Springdale Energy, LLC</t>
  </si>
  <si>
    <t>Springdale Power Station</t>
  </si>
  <si>
    <t>Units AE 3, 4 &amp; 5</t>
  </si>
  <si>
    <t>ACHD Permit # 0580-I002a</t>
  </si>
  <si>
    <t>Aqueous Ammonia Usage</t>
  </si>
  <si>
    <t>MAX Throughput</t>
  </si>
  <si>
    <t>Gallons</t>
  </si>
  <si>
    <t>% THROUGHPUT</t>
  </si>
  <si>
    <t>Dec-Feb</t>
  </si>
  <si>
    <t>Mar-May</t>
  </si>
  <si>
    <t>Jun-Aug</t>
  </si>
  <si>
    <t>Sep-Nov</t>
  </si>
  <si>
    <r>
      <t>Note:  USEPA Tanks 4.09b used to estimate NH</t>
    </r>
    <r>
      <rPr>
        <b/>
        <vertAlign val="subscript"/>
        <sz val="18"/>
        <rFont val="Helv"/>
      </rPr>
      <t>3</t>
    </r>
    <r>
      <rPr>
        <b/>
        <sz val="18"/>
        <rFont val="Helv"/>
      </rPr>
      <t xml:space="preserve"> Emissions</t>
    </r>
  </si>
  <si>
    <t>Standing Loses</t>
  </si>
  <si>
    <t>=</t>
  </si>
  <si>
    <t>Working Loses</t>
  </si>
  <si>
    <t xml:space="preserve">Tanks Total Loses </t>
  </si>
  <si>
    <t>lbs/yr</t>
  </si>
  <si>
    <t>tpy</t>
  </si>
  <si>
    <t>COOLING TOWER EMISSION PTE CALCULATIONS (AP-42 Table 13.4-1)</t>
  </si>
  <si>
    <t>Cooling Tower has two pumps rated at 43,860 gpm each (combined total 87,720 gpm)</t>
  </si>
  <si>
    <t>Permit Limit for TDS is 3000 ppm (mg/L)</t>
  </si>
  <si>
    <t>TVOP Limit</t>
  </si>
  <si>
    <t>mg/L</t>
  </si>
  <si>
    <t>lb/gal</t>
  </si>
  <si>
    <t>Design Cooling Tower Drift Rate*</t>
  </si>
  <si>
    <t>(installation permit application)</t>
  </si>
  <si>
    <t>Cooling Tower Circulating Water Flow</t>
  </si>
  <si>
    <t>gpm</t>
  </si>
  <si>
    <t>AP-42 Emission Factor*</t>
  </si>
  <si>
    <t>table 13.4-1 (1/95)</t>
  </si>
  <si>
    <t>Estimated Control Efficiency</t>
  </si>
  <si>
    <t>H.E. Mist Eliminator (calculated)</t>
  </si>
  <si>
    <t>* total liquid drift as a percentage of circulating water flow</t>
  </si>
  <si>
    <t>note:  cooling tower only operates when CCCT's are in operation</t>
  </si>
  <si>
    <t>maximum operating hours for COOLING TOWER</t>
  </si>
  <si>
    <t>total circulating water flow</t>
  </si>
  <si>
    <t>gallons</t>
  </si>
  <si>
    <t>Total Liquid Drift (uncontrolled)</t>
  </si>
  <si>
    <t>AP-42</t>
  </si>
  <si>
    <t>Total Solids contained in Drift (PM/PM10/PM2.5)</t>
  </si>
  <si>
    <t>uncontrolled</t>
  </si>
  <si>
    <t>Total Liquid Drift (controlled)</t>
  </si>
  <si>
    <t>Annual Average Cooling Tower TDS</t>
  </si>
  <si>
    <t>(Limit)</t>
  </si>
  <si>
    <t>controlled (H.E. mist eliminator)</t>
  </si>
  <si>
    <t>PM emissions</t>
  </si>
  <si>
    <r>
      <t>assume PM = PM</t>
    </r>
    <r>
      <rPr>
        <b/>
        <vertAlign val="subscript"/>
        <sz val="14"/>
        <rFont val="Aptos"/>
        <family val="2"/>
      </rPr>
      <t>10</t>
    </r>
    <r>
      <rPr>
        <b/>
        <sz val="14"/>
        <rFont val="Aptos"/>
        <family val="2"/>
      </rPr>
      <t xml:space="preserve"> = PM</t>
    </r>
    <r>
      <rPr>
        <b/>
        <vertAlign val="subscript"/>
        <sz val="14"/>
        <rFont val="Aptos"/>
        <family val="2"/>
      </rPr>
      <t>2.5</t>
    </r>
  </si>
  <si>
    <t>AE 3, 4, 5</t>
  </si>
  <si>
    <t>Start Up/Shutdown PTE Emissions</t>
  </si>
  <si>
    <t>July 2003 Stack Tests - Startup Emission Rates</t>
  </si>
  <si>
    <t>Unit</t>
  </si>
  <si>
    <t>cold start</t>
  </si>
  <si>
    <t>warm start</t>
  </si>
  <si>
    <t>hot start</t>
  </si>
  <si>
    <t xml:space="preserve"> SU/SD Events/Year</t>
  </si>
  <si>
    <t>Unit 3</t>
  </si>
  <si>
    <t>Unit 4</t>
  </si>
  <si>
    <t>Cold Starts</t>
  </si>
  <si>
    <t>Warm Starts</t>
  </si>
  <si>
    <t>VOCs (lbs/start)*</t>
  </si>
  <si>
    <t>Hot Starts</t>
  </si>
  <si>
    <t>Unit #3</t>
  </si>
  <si>
    <t>Unit #4</t>
  </si>
  <si>
    <t>Max SU/SD Hrs/Event*</t>
  </si>
  <si>
    <r>
      <t>PM/PM</t>
    </r>
    <r>
      <rPr>
        <b/>
        <vertAlign val="subscript"/>
        <sz val="14"/>
        <rFont val="Aptos"/>
        <family val="2"/>
      </rPr>
      <t xml:space="preserve">10 </t>
    </r>
    <r>
      <rPr>
        <b/>
        <sz val="14"/>
        <rFont val="Aptos"/>
        <family val="2"/>
      </rPr>
      <t>(lbs/start)*</t>
    </r>
  </si>
  <si>
    <t>*Title V Permit Limits</t>
  </si>
  <si>
    <t>*Data from IP 0580-I002 application</t>
  </si>
  <si>
    <t>MAX PTE SU/SD Emissions (tons/yr)</t>
  </si>
  <si>
    <t>Max SU/SD hrs/yr</t>
  </si>
  <si>
    <t>Start Up Type</t>
  </si>
  <si>
    <t>VOCs</t>
  </si>
  <si>
    <r>
      <t>PM/PM</t>
    </r>
    <r>
      <rPr>
        <b/>
        <vertAlign val="subscript"/>
        <sz val="14"/>
        <rFont val="Aptos"/>
        <family val="2"/>
      </rPr>
      <t>10</t>
    </r>
  </si>
  <si>
    <t>Max non-SU/SD hrs/yr</t>
  </si>
  <si>
    <t>Cold</t>
  </si>
  <si>
    <t>SU/SD Totals</t>
  </si>
  <si>
    <t>Warm</t>
  </si>
  <si>
    <t>U3 VOC Sum</t>
  </si>
  <si>
    <t>Hot</t>
  </si>
  <si>
    <t>U4 VOC Sum</t>
  </si>
  <si>
    <t>U3 PM Sum</t>
  </si>
  <si>
    <t>U4 PM Sum</t>
  </si>
  <si>
    <t>Facility PTE Summary</t>
  </si>
  <si>
    <t>(Tons/Year)</t>
  </si>
  <si>
    <t>Emission Source</t>
  </si>
  <si>
    <t>Criteria Pollutants</t>
  </si>
  <si>
    <t>Units 1&amp;2</t>
  </si>
  <si>
    <r>
      <t>T-2 
NH</t>
    </r>
    <r>
      <rPr>
        <b/>
        <vertAlign val="subscript"/>
        <sz val="14"/>
        <rFont val="Aptos"/>
        <family val="2"/>
      </rPr>
      <t>3</t>
    </r>
    <r>
      <rPr>
        <b/>
        <sz val="14"/>
        <rFont val="Aptos"/>
        <family val="2"/>
      </rPr>
      <t xml:space="preserve"> Storage</t>
    </r>
  </si>
  <si>
    <t>EG01</t>
  </si>
  <si>
    <t>EG02</t>
  </si>
  <si>
    <t>G02 Emergency Fire Pump</t>
  </si>
  <si>
    <t>CT-2 
Cooling Tower</t>
  </si>
  <si>
    <r>
      <t>SO</t>
    </r>
    <r>
      <rPr>
        <b/>
        <vertAlign val="subscript"/>
        <sz val="14"/>
        <rFont val="Aptos"/>
        <family val="2"/>
      </rPr>
      <t>2</t>
    </r>
  </si>
  <si>
    <r>
      <t>PM</t>
    </r>
    <r>
      <rPr>
        <b/>
        <vertAlign val="subscript"/>
        <sz val="14"/>
        <rFont val="Aptos"/>
        <family val="2"/>
      </rPr>
      <t>10</t>
    </r>
  </si>
  <si>
    <r>
      <t>PM</t>
    </r>
    <r>
      <rPr>
        <b/>
        <vertAlign val="subscript"/>
        <sz val="14"/>
        <rFont val="Aptos"/>
        <family val="2"/>
      </rPr>
      <t>2.5</t>
    </r>
  </si>
  <si>
    <r>
      <t>PM</t>
    </r>
    <r>
      <rPr>
        <b/>
        <vertAlign val="subscript"/>
        <sz val="14"/>
        <rFont val="Aptos"/>
        <family val="2"/>
      </rPr>
      <t>COND</t>
    </r>
  </si>
  <si>
    <t>Hazardous Air Pollutants</t>
  </si>
  <si>
    <t>Air Toxics</t>
  </si>
  <si>
    <t>Greenhouse Gases</t>
  </si>
  <si>
    <r>
      <t>CH</t>
    </r>
    <r>
      <rPr>
        <b/>
        <vertAlign val="subscript"/>
        <sz val="14"/>
        <rFont val="Aptos"/>
        <family val="2"/>
      </rPr>
      <t>4</t>
    </r>
  </si>
  <si>
    <r>
      <t>N</t>
    </r>
    <r>
      <rPr>
        <b/>
        <vertAlign val="subscript"/>
        <sz val="14"/>
        <rFont val="Aptos"/>
        <family val="2"/>
      </rPr>
      <t>2</t>
    </r>
    <r>
      <rPr>
        <b/>
        <sz val="14"/>
        <rFont val="Aptos"/>
        <family val="2"/>
      </rPr>
      <t>O</t>
    </r>
  </si>
  <si>
    <r>
      <t>CO</t>
    </r>
    <r>
      <rPr>
        <b/>
        <vertAlign val="subscript"/>
        <sz val="14"/>
        <rFont val="Aptos"/>
        <family val="2"/>
      </rPr>
      <t>2</t>
    </r>
  </si>
  <si>
    <t>*Emissions from Unit 1 not included in total since calcs show each unit operating at the permit limit of 4450 hours (combined U1 &amp; U2)</t>
  </si>
  <si>
    <t>Springdale Power Station Emission Calculations: Fire Pump Engine</t>
  </si>
  <si>
    <t>Engine Rating</t>
  </si>
  <si>
    <t>bhp</t>
  </si>
  <si>
    <t>gal/hr</t>
  </si>
  <si>
    <t>Clarke Model JDFP-06WA Fire Pump rated at 265 BHP</t>
  </si>
  <si>
    <t>diesel Btu/gal</t>
  </si>
  <si>
    <t>MMBtu/hr</t>
  </si>
  <si>
    <t>Criteria Pollutants -Manufacturer Calculations</t>
  </si>
  <si>
    <t>Emission Factor (g/HP-hr)*</t>
  </si>
  <si>
    <t>Emission Factor (lbs/HP-hr)</t>
  </si>
  <si>
    <t>Operating Hours</t>
  </si>
  <si>
    <r>
      <t>NO</t>
    </r>
    <r>
      <rPr>
        <vertAlign val="subscript"/>
        <sz val="10"/>
        <rFont val="Aptos"/>
        <family val="2"/>
      </rPr>
      <t>X</t>
    </r>
  </si>
  <si>
    <r>
      <t>SO</t>
    </r>
    <r>
      <rPr>
        <vertAlign val="subscript"/>
        <sz val="10"/>
        <rFont val="Aptos"/>
        <family val="2"/>
      </rPr>
      <t>2</t>
    </r>
  </si>
  <si>
    <r>
      <t>PM/PM</t>
    </r>
    <r>
      <rPr>
        <vertAlign val="subscript"/>
        <sz val="10"/>
        <rFont val="Aptos"/>
        <family val="2"/>
      </rPr>
      <t>10</t>
    </r>
  </si>
  <si>
    <t>VOC</t>
  </si>
  <si>
    <t>*Based on Manufacturer data</t>
  </si>
  <si>
    <t>HAP Calculations</t>
  </si>
  <si>
    <t>Emission Factor*
(lb/MMBtu)</t>
  </si>
  <si>
    <t>1,3-butadiene</t>
  </si>
  <si>
    <t>Xylene</t>
  </si>
  <si>
    <t>*AP-42 Table 3.3-2</t>
  </si>
  <si>
    <t>GHG Calculations</t>
  </si>
  <si>
    <t>GHG</t>
  </si>
  <si>
    <r>
      <t>CO</t>
    </r>
    <r>
      <rPr>
        <vertAlign val="subscript"/>
        <sz val="10"/>
        <color theme="1"/>
        <rFont val="Aptos"/>
        <family val="2"/>
      </rPr>
      <t>2</t>
    </r>
  </si>
  <si>
    <r>
      <t>CH</t>
    </r>
    <r>
      <rPr>
        <vertAlign val="subscript"/>
        <sz val="10"/>
        <color theme="1"/>
        <rFont val="Aptos"/>
        <family val="2"/>
      </rPr>
      <t>4</t>
    </r>
  </si>
  <si>
    <r>
      <t>N</t>
    </r>
    <r>
      <rPr>
        <vertAlign val="subscript"/>
        <sz val="10"/>
        <color theme="1"/>
        <rFont val="Aptos"/>
        <family val="2"/>
      </rPr>
      <t>2</t>
    </r>
    <r>
      <rPr>
        <sz val="10"/>
        <color theme="1"/>
        <rFont val="Aptos"/>
        <family val="2"/>
      </rPr>
      <t>O</t>
    </r>
  </si>
  <si>
    <t>*40 CFR Part 98 Table C-1 and C-2.</t>
  </si>
  <si>
    <t>Criteria and GHG Potential Emissions</t>
  </si>
  <si>
    <t>Caterpillar C32 -- 1,250 EKW Nominal</t>
  </si>
  <si>
    <t>Constants</t>
  </si>
  <si>
    <t>lb/lb-mol; sulfur molecular weight</t>
  </si>
  <si>
    <r>
      <t>lb/lb-mol; SO</t>
    </r>
    <r>
      <rPr>
        <vertAlign val="subscript"/>
        <sz val="11"/>
        <color theme="1"/>
        <rFont val="Calibri"/>
        <family val="2"/>
        <scheme val="minor"/>
      </rPr>
      <t>2</t>
    </r>
    <r>
      <rPr>
        <sz val="12"/>
        <rFont val="Helv"/>
      </rPr>
      <t xml:space="preserve"> molecular weight</t>
    </r>
  </si>
  <si>
    <t>g/lb</t>
  </si>
  <si>
    <t>lb/kg</t>
  </si>
  <si>
    <t>lb/ton</t>
  </si>
  <si>
    <t>kW/bhp</t>
  </si>
  <si>
    <t>lb/gal; Diesel fuel density, calculated from engine data sheet</t>
  </si>
  <si>
    <t>MMBtu/gal; nominal heat content of diesel, AP-42, Appendix A</t>
  </si>
  <si>
    <t>%; fraction of NMHC in NOx + NMHC, from data in AP-42 Table 3.4-1 (10/96)</t>
  </si>
  <si>
    <r>
      <t>kg/MMBtu; CO</t>
    </r>
    <r>
      <rPr>
        <vertAlign val="subscript"/>
        <sz val="14"/>
        <color theme="1"/>
        <rFont val="Aptos"/>
        <family val="2"/>
      </rPr>
      <t>2</t>
    </r>
    <r>
      <rPr>
        <sz val="14"/>
        <rFont val="Aptos"/>
        <family val="2"/>
      </rPr>
      <t xml:space="preserve"> for Diesel Fuel Combustion; 40 CFR 98 Table C1</t>
    </r>
  </si>
  <si>
    <r>
      <t>kg/MMBtu; CH</t>
    </r>
    <r>
      <rPr>
        <vertAlign val="subscript"/>
        <sz val="14"/>
        <color theme="1"/>
        <rFont val="Aptos"/>
        <family val="2"/>
      </rPr>
      <t>4</t>
    </r>
    <r>
      <rPr>
        <sz val="14"/>
        <rFont val="Aptos"/>
        <family val="2"/>
      </rPr>
      <t xml:space="preserve"> for Diesel Fuel Combustion; 40 CFR 98 Table C2</t>
    </r>
  </si>
  <si>
    <r>
      <t>kg/MMBtu; N</t>
    </r>
    <r>
      <rPr>
        <vertAlign val="subscript"/>
        <sz val="14"/>
        <color theme="1"/>
        <rFont val="Aptos"/>
        <family val="2"/>
      </rPr>
      <t>2</t>
    </r>
    <r>
      <rPr>
        <sz val="14"/>
        <rFont val="Aptos"/>
        <family val="2"/>
      </rPr>
      <t>O for Diesel Fuel Combustion; 40 CFR 98 Table C2</t>
    </r>
  </si>
  <si>
    <r>
      <t>ton CO</t>
    </r>
    <r>
      <rPr>
        <vertAlign val="subscript"/>
        <sz val="14"/>
        <color theme="1"/>
        <rFont val="Aptos"/>
        <family val="2"/>
      </rPr>
      <t>2</t>
    </r>
    <r>
      <rPr>
        <sz val="14"/>
        <rFont val="Aptos"/>
        <family val="2"/>
      </rPr>
      <t>e per ton of CO</t>
    </r>
    <r>
      <rPr>
        <vertAlign val="subscript"/>
        <sz val="14"/>
        <color theme="1"/>
        <rFont val="Aptos"/>
        <family val="2"/>
      </rPr>
      <t>2</t>
    </r>
    <r>
      <rPr>
        <sz val="14"/>
        <rFont val="Aptos"/>
        <family val="2"/>
      </rPr>
      <t>; global warming potential, 40 CFR 98, Table A-1</t>
    </r>
  </si>
  <si>
    <r>
      <t>ton CO</t>
    </r>
    <r>
      <rPr>
        <vertAlign val="subscript"/>
        <sz val="14"/>
        <color theme="1"/>
        <rFont val="Aptos"/>
        <family val="2"/>
      </rPr>
      <t>2</t>
    </r>
    <r>
      <rPr>
        <sz val="14"/>
        <rFont val="Aptos"/>
        <family val="2"/>
      </rPr>
      <t>e per ton of CH</t>
    </r>
    <r>
      <rPr>
        <vertAlign val="subscript"/>
        <sz val="14"/>
        <color theme="1"/>
        <rFont val="Aptos"/>
        <family val="2"/>
      </rPr>
      <t>4</t>
    </r>
    <r>
      <rPr>
        <sz val="14"/>
        <rFont val="Aptos"/>
        <family val="2"/>
      </rPr>
      <t>; global warming potential, 40 CFR 98, Table A-1</t>
    </r>
  </si>
  <si>
    <r>
      <t>ton CO</t>
    </r>
    <r>
      <rPr>
        <vertAlign val="subscript"/>
        <sz val="14"/>
        <color theme="1"/>
        <rFont val="Aptos"/>
        <family val="2"/>
      </rPr>
      <t>2</t>
    </r>
    <r>
      <rPr>
        <sz val="14"/>
        <rFont val="Aptos"/>
        <family val="2"/>
      </rPr>
      <t>e per ton of N</t>
    </r>
    <r>
      <rPr>
        <vertAlign val="subscript"/>
        <sz val="14"/>
        <color theme="1"/>
        <rFont val="Aptos"/>
        <family val="2"/>
      </rPr>
      <t>2</t>
    </r>
    <r>
      <rPr>
        <sz val="14"/>
        <rFont val="Aptos"/>
        <family val="2"/>
      </rPr>
      <t>O; global warming potential, 40 CFR 98, Table A-1</t>
    </r>
  </si>
  <si>
    <t>Design Values</t>
  </si>
  <si>
    <t>number of engine-generators</t>
  </si>
  <si>
    <t>bhp; engine power rating at 100% load</t>
  </si>
  <si>
    <t>lb/bhp-hr; brake-specific fuel consumption rate at 100% load</t>
  </si>
  <si>
    <t>wt %; sulfur content of ultra-low sulfur diesel</t>
  </si>
  <si>
    <r>
      <t>hr/yr; maximum operating hours, each engine-generator</t>
    </r>
    <r>
      <rPr>
        <vertAlign val="superscript"/>
        <sz val="14"/>
        <color theme="1"/>
        <rFont val="Aptos"/>
        <family val="2"/>
      </rPr>
      <t>1</t>
    </r>
  </si>
  <si>
    <t>Intermediate Calculated Values</t>
  </si>
  <si>
    <t>lb/hr; fuel consumption rate, calculated</t>
  </si>
  <si>
    <t>gal/hr; fuel consumption rate, calculated</t>
  </si>
  <si>
    <t>Criteria Pollutant Emission Rates</t>
  </si>
  <si>
    <r>
      <t>NO</t>
    </r>
    <r>
      <rPr>
        <b/>
        <vertAlign val="subscript"/>
        <sz val="14"/>
        <color theme="1"/>
        <rFont val="Aptos"/>
        <family val="2"/>
      </rPr>
      <t>X</t>
    </r>
  </si>
  <si>
    <r>
      <t>VOC</t>
    </r>
    <r>
      <rPr>
        <b/>
        <vertAlign val="superscript"/>
        <sz val="14"/>
        <color theme="1"/>
        <rFont val="Aptos"/>
        <family val="2"/>
      </rPr>
      <t>2</t>
    </r>
  </si>
  <si>
    <r>
      <t>PM</t>
    </r>
    <r>
      <rPr>
        <b/>
        <vertAlign val="subscript"/>
        <sz val="14"/>
        <color theme="1"/>
        <rFont val="Aptos"/>
        <family val="2"/>
      </rPr>
      <t>10</t>
    </r>
  </si>
  <si>
    <r>
      <t>SO</t>
    </r>
    <r>
      <rPr>
        <b/>
        <vertAlign val="subscript"/>
        <sz val="14"/>
        <color theme="1"/>
        <rFont val="Aptos"/>
        <family val="2"/>
      </rPr>
      <t>2</t>
    </r>
  </si>
  <si>
    <r>
      <t>lb/hr/unit</t>
    </r>
    <r>
      <rPr>
        <vertAlign val="superscript"/>
        <sz val="14"/>
        <color theme="1"/>
        <rFont val="Aptos"/>
        <family val="2"/>
      </rPr>
      <t>1</t>
    </r>
  </si>
  <si>
    <t>lb/hr total</t>
  </si>
  <si>
    <t>ton/yr/unit</t>
  </si>
  <si>
    <t>ton/yr total</t>
  </si>
  <si>
    <t>Criteria and GHG Potential Emissions (cont.)</t>
  </si>
  <si>
    <t>Greenhouse Gasses Combined Emission Rates</t>
  </si>
  <si>
    <r>
      <t>CO</t>
    </r>
    <r>
      <rPr>
        <b/>
        <vertAlign val="subscript"/>
        <sz val="14"/>
        <color theme="1"/>
        <rFont val="Aptos"/>
        <family val="2"/>
      </rPr>
      <t>2</t>
    </r>
    <r>
      <rPr>
        <b/>
        <vertAlign val="superscript"/>
        <sz val="14"/>
        <color theme="1"/>
        <rFont val="Aptos"/>
        <family val="2"/>
      </rPr>
      <t>2</t>
    </r>
  </si>
  <si>
    <r>
      <t>CH</t>
    </r>
    <r>
      <rPr>
        <b/>
        <vertAlign val="subscript"/>
        <sz val="14"/>
        <color theme="1"/>
        <rFont val="Aptos"/>
        <family val="2"/>
      </rPr>
      <t>4</t>
    </r>
  </si>
  <si>
    <r>
      <t>N</t>
    </r>
    <r>
      <rPr>
        <b/>
        <vertAlign val="subscript"/>
        <sz val="14"/>
        <color theme="1"/>
        <rFont val="Aptos"/>
        <family val="2"/>
      </rPr>
      <t>2</t>
    </r>
    <r>
      <rPr>
        <b/>
        <sz val="14"/>
        <color theme="1"/>
        <rFont val="Aptos"/>
        <family val="2"/>
      </rPr>
      <t>O</t>
    </r>
  </si>
  <si>
    <r>
      <t>CO</t>
    </r>
    <r>
      <rPr>
        <b/>
        <vertAlign val="subscript"/>
        <sz val="14"/>
        <color theme="1"/>
        <rFont val="Aptos"/>
        <family val="2"/>
      </rPr>
      <t>2</t>
    </r>
    <r>
      <rPr>
        <b/>
        <sz val="14"/>
        <color theme="1"/>
        <rFont val="Aptos"/>
        <family val="2"/>
      </rPr>
      <t>e</t>
    </r>
  </si>
  <si>
    <t>lb/hr/unit</t>
  </si>
  <si>
    <t>Notes</t>
  </si>
  <si>
    <t>1. Emissions rates are based on the permit limit in Installation Permit No. 0580-I004.</t>
  </si>
  <si>
    <r>
      <t>2.  CO</t>
    </r>
    <r>
      <rPr>
        <vertAlign val="subscript"/>
        <sz val="14"/>
        <color theme="1"/>
        <rFont val="Aptos"/>
        <family val="2"/>
      </rPr>
      <t>2</t>
    </r>
    <r>
      <rPr>
        <sz val="14"/>
        <rFont val="Aptos"/>
        <family val="2"/>
      </rPr>
      <t xml:space="preserve"> emission rate provided by engine manufacturer for 100 percent load condition.</t>
    </r>
  </si>
  <si>
    <t>EG-01 and EG-02</t>
  </si>
  <si>
    <t>Toxic and Hazardous Emissions</t>
  </si>
  <si>
    <t>gal/hr; fuel consumption at 100% load manufacturer data, C32 Caterpillar, 1829 BHP rating</t>
  </si>
  <si>
    <t>MMBtu/hr; heat input capacity, calculated</t>
  </si>
  <si>
    <r>
      <t>hr/yr; maximum operating hours, each engine-generator</t>
    </r>
    <r>
      <rPr>
        <vertAlign val="superscript"/>
        <sz val="11"/>
        <color theme="1"/>
        <rFont val="Aptos"/>
        <family val="2"/>
      </rPr>
      <t>1</t>
    </r>
  </si>
  <si>
    <t>hr/yr; maximum expected actual operating hours, each engine-generator</t>
  </si>
  <si>
    <r>
      <t>TAP/HAP</t>
    </r>
    <r>
      <rPr>
        <b/>
        <u/>
        <vertAlign val="superscript"/>
        <sz val="11"/>
        <color theme="1"/>
        <rFont val="Aptos"/>
        <family val="2"/>
      </rPr>
      <t>2</t>
    </r>
    <r>
      <rPr>
        <b/>
        <u/>
        <sz val="11"/>
        <color theme="1"/>
        <rFont val="Aptos"/>
        <family val="2"/>
      </rPr>
      <t xml:space="preserve"> Emission Factors (AP-42, Table 3.4-3, (10/96))</t>
    </r>
  </si>
  <si>
    <t>TAP/HAP</t>
  </si>
  <si>
    <t>lb/unit-hr</t>
  </si>
  <si>
    <t>lb/yr, total</t>
  </si>
  <si>
    <t>ton/yr, total</t>
  </si>
  <si>
    <t>Potential</t>
  </si>
  <si>
    <t>Actual</t>
  </si>
  <si>
    <t>PAH (total)</t>
  </si>
  <si>
    <r>
      <t>Propylene</t>
    </r>
    <r>
      <rPr>
        <vertAlign val="superscript"/>
        <sz val="11"/>
        <color theme="1"/>
        <rFont val="Aptos"/>
        <family val="2"/>
      </rPr>
      <t>3</t>
    </r>
  </si>
  <si>
    <t>Total TAPs</t>
  </si>
  <si>
    <t>Notes:</t>
  </si>
  <si>
    <t>1.  See EPA Memorandum from John S. Seitz, Director, Office of Air Quality Planning and Standards (MD-10), “Calculating Potential to Emit (PTE) for Emergency Generators” (Sept. 6, 1995), available at https://www.epa.gov/sites/production/files/2015-08/documents/emgen.pdf.</t>
  </si>
  <si>
    <t>2.  "TAP" = toxic air pollutant; "HAP" = hazardous air pollutant (per 42 U.S.C. 7412(b)(1) and 40 CFR 63 §§ 60-63).  TAPs are defined by the ACHD within the document "Policy for Air Toxics Review of Installation Permit Applications," last revised January 9, 2013.</t>
  </si>
  <si>
    <t>3.  Not a listed hazardous air pollutant (HAP); other species listed are defined as HAPs.  Propylene is not listed in EPA's Integrated Risk Information System database but is assigned an inhalation Reference Exposure Level by California's Office of Environmental Health Hazard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</si>
</sst>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General_)"/>
    <numFmt numFmtId="165" formatCode="dd\-mmm\-yy_)"/>
    <numFmt numFmtId="166" formatCode="#,##0.0_);\(#,##0.0\)"/>
    <numFmt numFmtId="167" formatCode=";;;"/>
    <numFmt numFmtId="168" formatCode="0.0%"/>
    <numFmt numFmtId="169" formatCode="0.000E+00_)"/>
    <numFmt numFmtId="170" formatCode="0.00000"/>
    <numFmt numFmtId="171" formatCode="0.0000"/>
    <numFmt numFmtId="172" formatCode="0.000"/>
    <numFmt numFmtId="173" formatCode="m/d/yy"/>
    <numFmt numFmtId="174" formatCode="0.0"/>
    <numFmt numFmtId="175" formatCode="0.0000%"/>
    <numFmt numFmtId="176" formatCode="#,##0.0"/>
    <numFmt numFmtId="177" formatCode="#,##0.0000"/>
    <numFmt numFmtId="178" formatCode="#,##0.000"/>
    <numFmt numFmtId="179" formatCode="0.0E+00"/>
  </numFmts>
  <fonts count="88" x14ac:knownFonts="1">
    <font>
      <sz val="12"/>
      <name val="Helv"/>
    </font>
    <font>
      <sz val="11"/>
      <color theme="1"/>
      <name val="Calibri"/>
      <family val="2"/>
      <scheme val="minor"/>
    </font>
    <font>
      <sz val="10"/>
      <color indexed="12"/>
      <name val="Courier"/>
      <family val="3"/>
    </font>
    <font>
      <sz val="10"/>
      <name val="Helv"/>
    </font>
    <font>
      <b/>
      <sz val="10"/>
      <name val="Helv"/>
    </font>
    <font>
      <b/>
      <sz val="12"/>
      <color indexed="12"/>
      <name val="Helv"/>
    </font>
    <font>
      <b/>
      <sz val="16"/>
      <name val="Helv"/>
    </font>
    <font>
      <b/>
      <u/>
      <sz val="12"/>
      <name val="Helv"/>
    </font>
    <font>
      <sz val="10"/>
      <color indexed="12"/>
      <name val="Helv"/>
    </font>
    <font>
      <b/>
      <sz val="12"/>
      <name val="Helv"/>
    </font>
    <font>
      <sz val="12"/>
      <color indexed="12"/>
      <name val="Helv"/>
    </font>
    <font>
      <b/>
      <i/>
      <sz val="12"/>
      <name val="Helv"/>
    </font>
    <font>
      <b/>
      <sz val="14"/>
      <name val="Helv"/>
    </font>
    <font>
      <sz val="14"/>
      <name val="Helv"/>
    </font>
    <font>
      <b/>
      <u/>
      <sz val="14"/>
      <name val="Helv"/>
    </font>
    <font>
      <b/>
      <u/>
      <sz val="14"/>
      <color indexed="20"/>
      <name val="Helv"/>
    </font>
    <font>
      <b/>
      <u/>
      <sz val="16"/>
      <color indexed="20"/>
      <name val="Helv"/>
    </font>
    <font>
      <b/>
      <sz val="14"/>
      <color indexed="20"/>
      <name val="Helv"/>
    </font>
    <font>
      <sz val="12"/>
      <name val="Helv"/>
    </font>
    <font>
      <sz val="12"/>
      <color indexed="10"/>
      <name val="Helv"/>
    </font>
    <font>
      <sz val="12"/>
      <color indexed="8"/>
      <name val="Helv"/>
    </font>
    <font>
      <i/>
      <sz val="12"/>
      <name val="Helv"/>
    </font>
    <font>
      <sz val="12"/>
      <name val="Arial"/>
      <family val="2"/>
    </font>
    <font>
      <b/>
      <u/>
      <sz val="12"/>
      <name val="Arial"/>
      <family val="2"/>
    </font>
    <font>
      <b/>
      <sz val="10"/>
      <name val="Arial"/>
      <family val="2"/>
    </font>
    <font>
      <sz val="11"/>
      <name val="Helv"/>
    </font>
    <font>
      <sz val="8"/>
      <name val="Helv"/>
    </font>
    <font>
      <b/>
      <sz val="12"/>
      <name val="Arial"/>
      <family val="2"/>
    </font>
    <font>
      <sz val="14"/>
      <color indexed="12"/>
      <name val="Helv"/>
    </font>
    <font>
      <vertAlign val="subscript"/>
      <sz val="12"/>
      <name val="Helv"/>
    </font>
    <font>
      <vertAlign val="superscript"/>
      <sz val="12"/>
      <name val="Helv"/>
    </font>
    <font>
      <sz val="10"/>
      <name val="Arial"/>
      <family val="2"/>
    </font>
    <font>
      <b/>
      <i/>
      <sz val="14"/>
      <color theme="1"/>
      <name val="Calibri"/>
      <family val="2"/>
      <scheme val="minor"/>
    </font>
    <font>
      <u/>
      <sz val="11"/>
      <color theme="1"/>
      <name val="Calibri"/>
      <family val="2"/>
      <scheme val="minor"/>
    </font>
    <font>
      <b/>
      <u/>
      <sz val="11"/>
      <color theme="1"/>
      <name val="Calibri"/>
      <family val="2"/>
      <scheme val="minor"/>
    </font>
    <font>
      <vertAlign val="subscript"/>
      <sz val="11"/>
      <color theme="1"/>
      <name val="Calibri"/>
      <family val="2"/>
      <scheme val="minor"/>
    </font>
    <font>
      <sz val="10"/>
      <color theme="1"/>
      <name val="Cambria"/>
      <family val="1"/>
    </font>
    <font>
      <b/>
      <sz val="10"/>
      <color theme="1"/>
      <name val="Cambria"/>
      <family val="1"/>
    </font>
    <font>
      <sz val="11"/>
      <color theme="1"/>
      <name val="Aptos"/>
      <family val="2"/>
    </font>
    <font>
      <b/>
      <sz val="11"/>
      <color theme="1"/>
      <name val="Aptos"/>
      <family val="2"/>
    </font>
    <font>
      <b/>
      <vertAlign val="superscript"/>
      <sz val="11"/>
      <color theme="1"/>
      <name val="Aptos"/>
      <family val="2"/>
    </font>
    <font>
      <vertAlign val="subscript"/>
      <sz val="11"/>
      <color theme="1"/>
      <name val="Aptos"/>
      <family val="2"/>
    </font>
    <font>
      <sz val="11"/>
      <name val="Aptos"/>
      <family val="2"/>
    </font>
    <font>
      <b/>
      <sz val="14"/>
      <name val="Aptos"/>
      <family val="2"/>
    </font>
    <font>
      <sz val="12"/>
      <name val="Aptos"/>
      <family val="2"/>
    </font>
    <font>
      <sz val="14"/>
      <name val="Aptos"/>
      <family val="2"/>
    </font>
    <font>
      <b/>
      <sz val="12"/>
      <name val="Aptos"/>
      <family val="2"/>
    </font>
    <font>
      <sz val="10"/>
      <name val="Aptos"/>
      <family val="2"/>
    </font>
    <font>
      <sz val="12"/>
      <color indexed="12"/>
      <name val="Aptos"/>
      <family val="2"/>
    </font>
    <font>
      <b/>
      <sz val="18"/>
      <name val="Aptos"/>
      <family val="2"/>
    </font>
    <font>
      <sz val="18"/>
      <name val="Aptos"/>
      <family val="2"/>
    </font>
    <font>
      <b/>
      <sz val="16"/>
      <name val="Aptos"/>
      <family val="2"/>
    </font>
    <font>
      <sz val="16"/>
      <name val="Aptos"/>
      <family val="2"/>
    </font>
    <font>
      <b/>
      <sz val="10"/>
      <name val="Aptos"/>
      <family val="2"/>
    </font>
    <font>
      <b/>
      <u/>
      <sz val="18"/>
      <name val="Aptos"/>
      <family val="2"/>
    </font>
    <font>
      <b/>
      <u/>
      <sz val="18"/>
      <color indexed="20"/>
      <name val="Aptos"/>
      <family val="2"/>
    </font>
    <font>
      <sz val="18"/>
      <color indexed="8"/>
      <name val="Aptos"/>
      <family val="2"/>
    </font>
    <font>
      <b/>
      <vertAlign val="subscript"/>
      <sz val="18"/>
      <name val="Aptos"/>
      <family val="2"/>
    </font>
    <font>
      <i/>
      <sz val="18"/>
      <color indexed="8"/>
      <name val="Aptos"/>
      <family val="2"/>
    </font>
    <font>
      <sz val="14"/>
      <color indexed="20"/>
      <name val="Aptos"/>
      <family val="2"/>
    </font>
    <font>
      <b/>
      <u/>
      <sz val="14"/>
      <name val="Aptos"/>
      <family val="2"/>
    </font>
    <font>
      <b/>
      <sz val="18"/>
      <name val="Arial"/>
      <family val="2"/>
    </font>
    <font>
      <sz val="18"/>
      <name val="Helv"/>
    </font>
    <font>
      <sz val="18"/>
      <name val="Arial"/>
      <family val="2"/>
    </font>
    <font>
      <b/>
      <sz val="18"/>
      <name val="Helv"/>
    </font>
    <font>
      <b/>
      <u/>
      <sz val="18"/>
      <name val="Helv"/>
    </font>
    <font>
      <b/>
      <vertAlign val="subscript"/>
      <sz val="18"/>
      <name val="Helv"/>
    </font>
    <font>
      <b/>
      <vertAlign val="subscript"/>
      <sz val="14"/>
      <name val="Aptos"/>
      <family val="2"/>
    </font>
    <font>
      <i/>
      <sz val="14"/>
      <name val="Aptos"/>
      <family val="2"/>
    </font>
    <font>
      <u/>
      <sz val="14"/>
      <name val="Aptos"/>
      <family val="2"/>
    </font>
    <font>
      <b/>
      <i/>
      <sz val="14"/>
      <name val="Aptos"/>
      <family val="2"/>
    </font>
    <font>
      <vertAlign val="subscript"/>
      <sz val="10"/>
      <name val="Aptos"/>
      <family val="2"/>
    </font>
    <font>
      <sz val="10"/>
      <color theme="1"/>
      <name val="Aptos"/>
      <family val="2"/>
    </font>
    <font>
      <vertAlign val="subscript"/>
      <sz val="10"/>
      <color theme="1"/>
      <name val="Aptos"/>
      <family val="2"/>
    </font>
    <font>
      <sz val="14"/>
      <color theme="1"/>
      <name val="Aptos"/>
      <family val="2"/>
    </font>
    <font>
      <vertAlign val="subscript"/>
      <sz val="14"/>
      <color theme="1"/>
      <name val="Aptos"/>
      <family val="2"/>
    </font>
    <font>
      <b/>
      <u/>
      <sz val="14"/>
      <color theme="1"/>
      <name val="Aptos"/>
      <family val="2"/>
    </font>
    <font>
      <vertAlign val="superscript"/>
      <sz val="14"/>
      <color theme="1"/>
      <name val="Aptos"/>
      <family val="2"/>
    </font>
    <font>
      <b/>
      <sz val="14"/>
      <color theme="1"/>
      <name val="Aptos"/>
      <family val="2"/>
    </font>
    <font>
      <b/>
      <vertAlign val="subscript"/>
      <sz val="14"/>
      <color theme="1"/>
      <name val="Aptos"/>
      <family val="2"/>
    </font>
    <font>
      <b/>
      <vertAlign val="superscript"/>
      <sz val="14"/>
      <color theme="1"/>
      <name val="Aptos"/>
      <family val="2"/>
    </font>
    <font>
      <b/>
      <i/>
      <sz val="14"/>
      <color theme="1"/>
      <name val="Aptos"/>
      <family val="2"/>
    </font>
    <font>
      <u/>
      <sz val="14"/>
      <color theme="1"/>
      <name val="Aptos"/>
      <family val="2"/>
    </font>
    <font>
      <u/>
      <sz val="11"/>
      <color theme="1"/>
      <name val="Aptos"/>
      <family val="2"/>
    </font>
    <font>
      <b/>
      <u/>
      <sz val="11"/>
      <color theme="1"/>
      <name val="Aptos"/>
      <family val="2"/>
    </font>
    <font>
      <vertAlign val="superscript"/>
      <sz val="11"/>
      <color theme="1"/>
      <name val="Aptos"/>
      <family val="2"/>
    </font>
    <font>
      <b/>
      <u/>
      <vertAlign val="superscript"/>
      <sz val="11"/>
      <color theme="1"/>
      <name val="Aptos"/>
      <family val="2"/>
    </font>
    <font>
      <i/>
      <sz val="11"/>
      <color theme="1"/>
      <name val="Aptos"/>
      <family val="2"/>
    </font>
  </fonts>
  <fills count="19">
    <fill>
      <patternFill patternType="none"/>
    </fill>
    <fill>
      <patternFill patternType="gray125"/>
    </fill>
    <fill>
      <patternFill patternType="solid">
        <fgColor indexed="42"/>
        <bgColor indexed="8"/>
      </patternFill>
    </fill>
    <fill>
      <patternFill patternType="solid">
        <fgColor indexed="42"/>
        <bgColor indexed="64"/>
      </patternFill>
    </fill>
    <fill>
      <patternFill patternType="solid">
        <fgColor indexed="27"/>
        <bgColor indexed="8"/>
      </patternFill>
    </fill>
    <fill>
      <patternFill patternType="solid">
        <fgColor indexed="13"/>
        <bgColor indexed="64"/>
      </patternFill>
    </fill>
    <fill>
      <patternFill patternType="solid">
        <fgColor indexed="65"/>
        <bgColor indexed="8"/>
      </patternFill>
    </fill>
    <fill>
      <patternFill patternType="solid">
        <fgColor rgb="FFFFFF00"/>
        <bgColor indexed="64"/>
      </patternFill>
    </fill>
    <fill>
      <patternFill patternType="solid">
        <fgColor theme="0"/>
        <bgColor indexed="64"/>
      </patternFill>
    </fill>
    <fill>
      <patternFill patternType="solid">
        <fgColor theme="6" tint="0.59996337778862885"/>
        <bgColor indexed="64"/>
      </patternFill>
    </fill>
    <fill>
      <patternFill patternType="gray125">
        <fgColor theme="0"/>
        <bgColor theme="8" tint="0.79995117038483843"/>
      </patternFill>
    </fill>
    <fill>
      <patternFill patternType="solid">
        <fgColor theme="8" tint="0.59996337778862885"/>
        <bgColor indexed="8"/>
      </patternFill>
    </fill>
    <fill>
      <patternFill patternType="solid">
        <fgColor theme="8" tint="0.59996337778862885"/>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8" tint="0.79995117038483843"/>
        <bgColor theme="0"/>
      </patternFill>
    </fill>
    <fill>
      <patternFill patternType="solid">
        <fgColor indexed="41"/>
        <bgColor indexed="64"/>
      </patternFill>
    </fill>
    <fill>
      <patternFill patternType="solid">
        <fgColor theme="4" tint="0.39997558519241921"/>
        <bgColor indexed="64"/>
      </patternFill>
    </fill>
    <fill>
      <patternFill patternType="solid">
        <fgColor theme="0" tint="-0.14999847407452621"/>
        <bgColor indexed="64"/>
      </patternFill>
    </fill>
  </fills>
  <borders count="164">
    <border>
      <left/>
      <right/>
      <top/>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double">
        <color indexed="8"/>
      </right>
      <top style="thin">
        <color indexed="8"/>
      </top>
      <bottom style="medium">
        <color indexed="8"/>
      </bottom>
      <diagonal/>
    </border>
    <border>
      <left/>
      <right/>
      <top/>
      <bottom style="medium">
        <color indexed="8"/>
      </bottom>
      <diagonal/>
    </border>
    <border>
      <left style="double">
        <color indexed="8"/>
      </left>
      <right/>
      <top style="thin">
        <color indexed="8"/>
      </top>
      <bottom style="medium">
        <color indexed="8"/>
      </bottom>
      <diagonal/>
    </border>
    <border>
      <left/>
      <right style="thin">
        <color indexed="8"/>
      </right>
      <top style="thin">
        <color indexed="8"/>
      </top>
      <bottom style="medium">
        <color indexed="8"/>
      </bottom>
      <diagonal/>
    </border>
    <border>
      <left style="double">
        <color indexed="8"/>
      </left>
      <right/>
      <top/>
      <bottom/>
      <diagonal/>
    </border>
    <border>
      <left/>
      <right style="double">
        <color indexed="8"/>
      </right>
      <top/>
      <bottom/>
      <diagonal/>
    </border>
    <border>
      <left style="double">
        <color indexed="8"/>
      </left>
      <right/>
      <top/>
      <bottom style="thin">
        <color indexed="8"/>
      </bottom>
      <diagonal/>
    </border>
    <border>
      <left style="double">
        <color indexed="8"/>
      </left>
      <right/>
      <top style="thin">
        <color indexed="8"/>
      </top>
      <bottom style="thin">
        <color indexed="8"/>
      </bottom>
      <diagonal/>
    </border>
    <border>
      <left/>
      <right style="double">
        <color indexed="8"/>
      </right>
      <top/>
      <bottom style="thin">
        <color indexed="8"/>
      </bottom>
      <diagonal/>
    </border>
    <border>
      <left/>
      <right style="double">
        <color indexed="8"/>
      </right>
      <top style="thin">
        <color indexed="8"/>
      </top>
      <bottom style="thin">
        <color indexed="8"/>
      </bottom>
      <diagonal/>
    </border>
    <border>
      <left style="double">
        <color indexed="8"/>
      </left>
      <right/>
      <top style="thin">
        <color indexed="8"/>
      </top>
      <bottom style="double">
        <color indexed="8"/>
      </bottom>
      <diagonal/>
    </border>
    <border>
      <left/>
      <right style="double">
        <color indexed="8"/>
      </right>
      <top style="thin">
        <color indexed="8"/>
      </top>
      <bottom style="double">
        <color indexed="8"/>
      </bottom>
      <diagonal/>
    </border>
    <border>
      <left/>
      <right/>
      <top/>
      <bottom style="thin">
        <color indexed="8"/>
      </bottom>
      <diagonal/>
    </border>
    <border>
      <left/>
      <right style="double">
        <color indexed="8"/>
      </right>
      <top style="medium">
        <color indexed="8"/>
      </top>
      <bottom style="thin">
        <color indexed="8"/>
      </bottom>
      <diagonal/>
    </border>
    <border>
      <left style="medium">
        <color indexed="8"/>
      </left>
      <right style="double">
        <color indexed="8"/>
      </right>
      <top style="medium">
        <color indexed="8"/>
      </top>
      <bottom style="thin">
        <color indexed="8"/>
      </bottom>
      <diagonal/>
    </border>
    <border>
      <left style="double">
        <color indexed="8"/>
      </left>
      <right style="medium">
        <color indexed="8"/>
      </right>
      <top/>
      <bottom style="thin">
        <color indexed="8"/>
      </bottom>
      <diagonal/>
    </border>
    <border>
      <left style="double">
        <color indexed="8"/>
      </left>
      <right style="medium">
        <color indexed="8"/>
      </right>
      <top style="thin">
        <color indexed="8"/>
      </top>
      <bottom style="thin">
        <color indexed="8"/>
      </bottom>
      <diagonal/>
    </border>
    <border>
      <left/>
      <right style="thin">
        <color indexed="8"/>
      </right>
      <top/>
      <bottom/>
      <diagonal/>
    </border>
    <border>
      <left/>
      <right style="double">
        <color indexed="8"/>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double">
        <color indexed="8"/>
      </right>
      <top/>
      <bottom style="thin">
        <color indexed="8"/>
      </bottom>
      <diagonal/>
    </border>
    <border>
      <left style="thin">
        <color indexed="8"/>
      </left>
      <right style="double">
        <color indexed="8"/>
      </right>
      <top/>
      <bottom/>
      <diagonal/>
    </border>
    <border>
      <left/>
      <right/>
      <top style="thin">
        <color indexed="8"/>
      </top>
      <bottom style="thin">
        <color indexed="8"/>
      </bottom>
      <diagonal/>
    </border>
    <border>
      <left style="medium">
        <color indexed="8"/>
      </left>
      <right style="medium">
        <color indexed="8"/>
      </right>
      <top style="thick">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style="medium">
        <color indexed="8"/>
      </right>
      <top style="thin">
        <color indexed="8"/>
      </top>
      <bottom style="double">
        <color indexed="8"/>
      </bottom>
      <diagonal/>
    </border>
    <border>
      <left/>
      <right/>
      <top style="thin">
        <color indexed="8"/>
      </top>
      <bottom style="double">
        <color indexed="8"/>
      </bottom>
      <diagonal/>
    </border>
    <border>
      <left style="medium">
        <color indexed="8"/>
      </left>
      <right/>
      <top style="thin">
        <color indexed="8"/>
      </top>
      <bottom style="double">
        <color indexed="8"/>
      </bottom>
      <diagonal/>
    </border>
    <border>
      <left/>
      <right style="double">
        <color indexed="8"/>
      </right>
      <top style="thick">
        <color indexed="8"/>
      </top>
      <bottom style="thin">
        <color indexed="8"/>
      </bottom>
      <diagonal/>
    </border>
    <border>
      <left style="medium">
        <color indexed="8"/>
      </left>
      <right style="medium">
        <color indexed="8"/>
      </right>
      <top style="thin">
        <color indexed="8"/>
      </top>
      <bottom style="double">
        <color indexed="8"/>
      </bottom>
      <diagonal/>
    </border>
    <border>
      <left style="medium">
        <color indexed="8"/>
      </left>
      <right/>
      <top style="thin">
        <color indexed="8"/>
      </top>
      <bottom/>
      <diagonal/>
    </border>
    <border>
      <left style="medium">
        <color indexed="8"/>
      </left>
      <right style="medium">
        <color indexed="8"/>
      </right>
      <top style="thin">
        <color indexed="8"/>
      </top>
      <bottom/>
      <diagonal/>
    </border>
    <border>
      <left style="medium">
        <color indexed="8"/>
      </left>
      <right/>
      <top style="thick">
        <color indexed="8"/>
      </top>
      <bottom style="thin">
        <color indexed="8"/>
      </bottom>
      <diagonal/>
    </border>
    <border>
      <left style="medium">
        <color indexed="8"/>
      </left>
      <right/>
      <top style="thin">
        <color indexed="8"/>
      </top>
      <bottom style="thin">
        <color indexed="8"/>
      </bottom>
      <diagonal/>
    </border>
    <border>
      <left style="medium">
        <color indexed="8"/>
      </left>
      <right style="double">
        <color indexed="8"/>
      </right>
      <top style="thin">
        <color indexed="8"/>
      </top>
      <bottom style="thin">
        <color indexed="8"/>
      </bottom>
      <diagonal/>
    </border>
    <border>
      <left style="double">
        <color indexed="8"/>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double">
        <color indexed="8"/>
      </right>
      <top/>
      <bottom style="medium">
        <color indexed="8"/>
      </bottom>
      <diagonal/>
    </border>
    <border>
      <left style="double">
        <color indexed="8"/>
      </left>
      <right/>
      <top style="medium">
        <color indexed="8"/>
      </top>
      <bottom style="double">
        <color indexed="8"/>
      </bottom>
      <diagonal/>
    </border>
    <border>
      <left style="medium">
        <color indexed="8"/>
      </left>
      <right/>
      <top style="medium">
        <color indexed="8"/>
      </top>
      <bottom style="double">
        <color indexed="8"/>
      </bottom>
      <diagonal/>
    </border>
    <border>
      <left/>
      <right/>
      <top style="medium">
        <color indexed="8"/>
      </top>
      <bottom style="double">
        <color indexed="8"/>
      </bottom>
      <diagonal/>
    </border>
    <border>
      <left/>
      <right style="medium">
        <color indexed="8"/>
      </right>
      <top style="medium">
        <color indexed="8"/>
      </top>
      <bottom style="double">
        <color indexed="8"/>
      </bottom>
      <diagonal/>
    </border>
    <border>
      <left/>
      <right style="double">
        <color indexed="8"/>
      </right>
      <top style="medium">
        <color indexed="8"/>
      </top>
      <bottom style="double">
        <color indexed="8"/>
      </bottom>
      <diagonal/>
    </border>
    <border>
      <left/>
      <right/>
      <top/>
      <bottom style="thin">
        <color indexed="64"/>
      </bottom>
      <diagonal/>
    </border>
    <border>
      <left style="thin">
        <color indexed="64"/>
      </left>
      <right/>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right/>
      <top/>
      <bottom style="double">
        <color indexed="8"/>
      </bottom>
      <diagonal/>
    </border>
    <border>
      <left style="thin">
        <color indexed="8"/>
      </left>
      <right/>
      <top style="double">
        <color indexed="8"/>
      </top>
      <bottom/>
      <diagonal/>
    </border>
    <border>
      <left style="thin">
        <color indexed="8"/>
      </left>
      <right style="thin">
        <color indexed="8"/>
      </right>
      <top style="double">
        <color indexed="8"/>
      </top>
      <bottom style="medium">
        <color indexed="8"/>
      </bottom>
      <diagonal/>
    </border>
    <border>
      <left style="thin">
        <color indexed="8"/>
      </left>
      <right style="thin">
        <color indexed="8"/>
      </right>
      <top style="double">
        <color indexed="8"/>
      </top>
      <bottom/>
      <diagonal/>
    </border>
    <border>
      <left style="double">
        <color indexed="8"/>
      </left>
      <right style="double">
        <color indexed="8"/>
      </right>
      <top/>
      <bottom style="medium">
        <color indexed="8"/>
      </bottom>
      <diagonal/>
    </border>
    <border>
      <left/>
      <right style="thin">
        <color indexed="8"/>
      </right>
      <top style="double">
        <color indexed="8"/>
      </top>
      <bottom style="medium">
        <color indexed="8"/>
      </bottom>
      <diagonal/>
    </border>
    <border>
      <left/>
      <right/>
      <top style="double">
        <color indexed="8"/>
      </top>
      <bottom style="medium">
        <color indexed="8"/>
      </bottom>
      <diagonal/>
    </border>
    <border>
      <left style="double">
        <color indexed="8"/>
      </left>
      <right/>
      <top style="double">
        <color indexed="8"/>
      </top>
      <bottom style="medium">
        <color indexed="8"/>
      </bottom>
      <diagonal/>
    </border>
    <border>
      <left/>
      <right style="double">
        <color indexed="8"/>
      </right>
      <top style="double">
        <color indexed="8"/>
      </top>
      <bottom style="medium">
        <color indexed="8"/>
      </bottom>
      <diagonal/>
    </border>
    <border>
      <left style="double">
        <color indexed="8"/>
      </left>
      <right/>
      <top/>
      <bottom style="double">
        <color indexed="8"/>
      </bottom>
      <diagonal/>
    </border>
    <border>
      <left/>
      <right style="double">
        <color indexed="8"/>
      </right>
      <top/>
      <bottom style="double">
        <color indexed="8"/>
      </bottom>
      <diagonal/>
    </border>
    <border>
      <left style="medium">
        <color indexed="8"/>
      </left>
      <right style="medium">
        <color indexed="8"/>
      </right>
      <top style="double">
        <color indexed="8"/>
      </top>
      <bottom/>
      <diagonal/>
    </border>
    <border>
      <left style="medium">
        <color indexed="8"/>
      </left>
      <right/>
      <top style="double">
        <color indexed="8"/>
      </top>
      <bottom/>
      <diagonal/>
    </border>
    <border>
      <left style="double">
        <color indexed="8"/>
      </left>
      <right/>
      <top/>
      <bottom style="thick">
        <color indexed="8"/>
      </bottom>
      <diagonal/>
    </border>
    <border>
      <left style="medium">
        <color indexed="8"/>
      </left>
      <right style="medium">
        <color indexed="8"/>
      </right>
      <top/>
      <bottom style="thick">
        <color indexed="8"/>
      </bottom>
      <diagonal/>
    </border>
    <border>
      <left/>
      <right/>
      <top/>
      <bottom style="thick">
        <color indexed="8"/>
      </bottom>
      <diagonal/>
    </border>
    <border>
      <left style="medium">
        <color indexed="8"/>
      </left>
      <right/>
      <top/>
      <bottom style="thick">
        <color indexed="8"/>
      </bottom>
      <diagonal/>
    </border>
    <border>
      <left/>
      <right style="double">
        <color indexed="8"/>
      </right>
      <top/>
      <bottom style="thick">
        <color indexed="8"/>
      </bottom>
      <diagonal/>
    </border>
    <border>
      <left/>
      <right style="medium">
        <color indexed="8"/>
      </right>
      <top style="thin">
        <color indexed="8"/>
      </top>
      <bottom style="thin">
        <color indexed="8"/>
      </bottom>
      <diagonal/>
    </border>
    <border>
      <left style="double">
        <color indexed="8"/>
      </left>
      <right style="medium">
        <color indexed="8"/>
      </right>
      <top style="double">
        <color indexed="8"/>
      </top>
      <bottom style="medium">
        <color indexed="8"/>
      </bottom>
      <diagonal/>
    </border>
    <border>
      <left style="medium">
        <color indexed="8"/>
      </left>
      <right style="medium">
        <color indexed="8"/>
      </right>
      <top style="double">
        <color indexed="8"/>
      </top>
      <bottom style="medium">
        <color indexed="8"/>
      </bottom>
      <diagonal/>
    </border>
    <border>
      <left style="medium">
        <color indexed="8"/>
      </left>
      <right style="double">
        <color indexed="8"/>
      </right>
      <top style="double">
        <color indexed="8"/>
      </top>
      <bottom style="medium">
        <color indexed="8"/>
      </bottom>
      <diagonal/>
    </border>
    <border>
      <left style="double">
        <color indexed="8"/>
      </left>
      <right style="double">
        <color indexed="8"/>
      </right>
      <top style="double">
        <color indexed="8"/>
      </top>
      <bottom style="medium">
        <color indexed="8"/>
      </bottom>
      <diagonal/>
    </border>
    <border>
      <left style="thin">
        <color indexed="8"/>
      </left>
      <right/>
      <top/>
      <bottom/>
      <diagonal/>
    </border>
    <border>
      <left style="double">
        <color indexed="8"/>
      </left>
      <right style="double">
        <color indexed="8"/>
      </right>
      <top style="thin">
        <color indexed="8"/>
      </top>
      <bottom style="double">
        <color indexed="8"/>
      </bottom>
      <diagonal/>
    </border>
    <border>
      <left style="thin">
        <color indexed="64"/>
      </left>
      <right style="thin">
        <color indexed="64"/>
      </right>
      <top style="thin">
        <color indexed="64"/>
      </top>
      <bottom style="thin">
        <color indexed="64"/>
      </bottom>
      <diagonal/>
    </border>
    <border>
      <left style="double">
        <color indexed="8"/>
      </left>
      <right/>
      <top style="double">
        <color indexed="8"/>
      </top>
      <bottom style="double">
        <color indexed="8"/>
      </bottom>
      <diagonal/>
    </border>
    <border>
      <left/>
      <right style="double">
        <color indexed="8"/>
      </right>
      <top style="double">
        <color indexed="8"/>
      </top>
      <bottom style="double">
        <color indexed="8"/>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8"/>
      </left>
      <right/>
      <top/>
      <bottom style="double">
        <color indexed="8"/>
      </bottom>
      <diagonal/>
    </border>
    <border>
      <left style="double">
        <color indexed="8"/>
      </left>
      <right style="double">
        <color indexed="8"/>
      </right>
      <top style="medium">
        <color indexed="8"/>
      </top>
      <bottom/>
      <diagonal/>
    </border>
    <border>
      <left style="double">
        <color indexed="8"/>
      </left>
      <right style="double">
        <color indexed="8"/>
      </right>
      <top/>
      <bottom/>
      <diagonal/>
    </border>
    <border>
      <left style="double">
        <color indexed="8"/>
      </left>
      <right style="double">
        <color indexed="8"/>
      </right>
      <top/>
      <bottom style="double">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8"/>
      </left>
      <right/>
      <top/>
      <bottom style="thin">
        <color indexed="8"/>
      </bottom>
      <diagonal/>
    </border>
    <border>
      <left style="thin">
        <color indexed="8"/>
      </left>
      <right style="thin">
        <color indexed="64"/>
      </right>
      <top/>
      <bottom/>
      <diagonal/>
    </border>
    <border>
      <left style="thin">
        <color indexed="64"/>
      </left>
      <right style="thin">
        <color indexed="64"/>
      </right>
      <top style="double">
        <color indexed="8"/>
      </top>
      <bottom style="medium">
        <color indexed="8"/>
      </bottom>
      <diagonal/>
    </border>
    <border>
      <left/>
      <right style="thin">
        <color indexed="64"/>
      </right>
      <top style="double">
        <color indexed="8"/>
      </top>
      <bottom style="medium">
        <color indexed="8"/>
      </bottom>
      <diagonal/>
    </border>
    <border>
      <left style="thin">
        <color indexed="8"/>
      </left>
      <right style="thin">
        <color indexed="64"/>
      </right>
      <top style="double">
        <color indexed="8"/>
      </top>
      <bottom style="medium">
        <color indexed="8"/>
      </bottom>
      <diagonal/>
    </border>
    <border>
      <left style="thin">
        <color indexed="64"/>
      </left>
      <right style="thin">
        <color indexed="64"/>
      </right>
      <top style="double">
        <color indexed="8"/>
      </top>
      <bottom/>
      <diagonal/>
    </border>
    <border>
      <left style="thin">
        <color indexed="64"/>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bottom style="double">
        <color indexed="8"/>
      </bottom>
      <diagonal/>
    </border>
    <border>
      <left style="thin">
        <color indexed="8"/>
      </left>
      <right style="thin">
        <color indexed="64"/>
      </right>
      <top style="medium">
        <color indexed="8"/>
      </top>
      <bottom/>
      <diagonal/>
    </border>
    <border>
      <left/>
      <right style="thin">
        <color indexed="64"/>
      </right>
      <top style="medium">
        <color indexed="8"/>
      </top>
      <bottom/>
      <diagonal/>
    </border>
    <border>
      <left style="double">
        <color indexed="8"/>
      </left>
      <right/>
      <top style="medium">
        <color indexed="8"/>
      </top>
      <bottom/>
      <diagonal/>
    </border>
    <border>
      <left/>
      <right/>
      <top style="medium">
        <color indexed="8"/>
      </top>
      <bottom/>
      <diagonal/>
    </border>
    <border>
      <left style="thin">
        <color indexed="8"/>
      </left>
      <right style="thin">
        <color indexed="8"/>
      </right>
      <top/>
      <bottom style="double">
        <color indexed="8"/>
      </bottom>
      <diagonal/>
    </border>
    <border>
      <left style="double">
        <color indexed="8"/>
      </left>
      <right style="thin">
        <color indexed="8"/>
      </right>
      <top/>
      <bottom style="thin">
        <color indexed="8"/>
      </bottom>
      <diagonal/>
    </border>
    <border>
      <left/>
      <right style="thin">
        <color indexed="8"/>
      </right>
      <top/>
      <bottom style="thin">
        <color indexed="8"/>
      </bottom>
      <diagonal/>
    </border>
    <border>
      <left style="medium">
        <color indexed="8"/>
      </left>
      <right/>
      <top style="double">
        <color indexed="8"/>
      </top>
      <bottom style="medium">
        <color indexed="8"/>
      </bottom>
      <diagonal/>
    </border>
    <border>
      <left/>
      <right style="medium">
        <color indexed="8"/>
      </right>
      <top style="double">
        <color indexed="8"/>
      </top>
      <bottom style="medium">
        <color indexed="8"/>
      </bottom>
      <diagonal/>
    </border>
    <border>
      <left style="medium">
        <color indexed="8"/>
      </left>
      <right/>
      <top style="double">
        <color indexed="8"/>
      </top>
      <bottom style="double">
        <color indexed="8"/>
      </bottom>
      <diagonal/>
    </border>
    <border>
      <left/>
      <right/>
      <top style="double">
        <color indexed="8"/>
      </top>
      <bottom style="double">
        <color indexed="8"/>
      </bottom>
      <diagonal/>
    </border>
    <border>
      <left/>
      <right style="medium">
        <color indexed="8"/>
      </right>
      <top style="double">
        <color indexed="8"/>
      </top>
      <bottom style="double">
        <color indexed="8"/>
      </bottom>
      <diagonal/>
    </border>
    <border>
      <left/>
      <right style="thin">
        <color indexed="8"/>
      </right>
      <top/>
      <bottom style="double">
        <color indexed="8"/>
      </bottom>
      <diagonal/>
    </border>
    <border>
      <left/>
      <right style="double">
        <color indexed="64"/>
      </right>
      <top/>
      <bottom style="double">
        <color indexed="8"/>
      </bottom>
      <diagonal/>
    </border>
    <border>
      <left style="thin">
        <color indexed="8"/>
      </left>
      <right/>
      <top style="medium">
        <color indexed="8"/>
      </top>
      <bottom/>
      <diagonal/>
    </border>
    <border>
      <left/>
      <right style="thin">
        <color indexed="8"/>
      </right>
      <top style="medium">
        <color indexed="8"/>
      </top>
      <bottom/>
      <diagonal/>
    </border>
    <border>
      <left/>
      <right style="medium">
        <color indexed="8"/>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7">
    <xf numFmtId="164" fontId="0" fillId="0" borderId="0"/>
    <xf numFmtId="0" fontId="3" fillId="0" borderId="0"/>
    <xf numFmtId="0" fontId="3" fillId="0" borderId="0"/>
    <xf numFmtId="0" fontId="3" fillId="0" borderId="0"/>
    <xf numFmtId="0" fontId="3" fillId="0" borderId="0"/>
    <xf numFmtId="0" fontId="31" fillId="0" borderId="0"/>
    <xf numFmtId="0" fontId="1" fillId="0" borderId="0"/>
  </cellStyleXfs>
  <cellXfs count="651">
    <xf numFmtId="164" fontId="0" fillId="0" borderId="0" xfId="0"/>
    <xf numFmtId="164" fontId="0" fillId="0" borderId="0" xfId="0" applyAlignment="1">
      <alignment horizontal="left"/>
    </xf>
    <xf numFmtId="164" fontId="2" fillId="0" borderId="0" xfId="0" applyFont="1" applyProtection="1">
      <protection locked="0"/>
    </xf>
    <xf numFmtId="164" fontId="0" fillId="0" borderId="0" xfId="0" applyAlignment="1">
      <alignment horizontal="center"/>
    </xf>
    <xf numFmtId="165" fontId="3" fillId="0" borderId="0" xfId="0" applyNumberFormat="1" applyFont="1"/>
    <xf numFmtId="164" fontId="6" fillId="0" borderId="0" xfId="0" applyFont="1" applyAlignment="1">
      <alignment horizontal="centerContinuous"/>
    </xf>
    <xf numFmtId="164" fontId="0" fillId="0" borderId="0" xfId="0" applyAlignment="1">
      <alignment horizontal="centerContinuous"/>
    </xf>
    <xf numFmtId="164" fontId="2" fillId="0" borderId="0" xfId="0" applyFont="1" applyAlignment="1" applyProtection="1">
      <alignment horizontal="centerContinuous"/>
      <protection locked="0"/>
    </xf>
    <xf numFmtId="164" fontId="5" fillId="0" borderId="0" xfId="0" applyFont="1" applyAlignment="1">
      <alignment horizontal="centerContinuous"/>
    </xf>
    <xf numFmtId="164" fontId="3" fillId="0" borderId="0" xfId="0" applyFont="1"/>
    <xf numFmtId="164" fontId="7" fillId="0" borderId="0" xfId="0" applyFont="1" applyAlignment="1">
      <alignment horizontal="left"/>
    </xf>
    <xf numFmtId="164" fontId="7" fillId="0" borderId="0" xfId="0" applyFont="1" applyAlignment="1">
      <alignment horizontal="center"/>
    </xf>
    <xf numFmtId="164" fontId="7" fillId="0" borderId="0" xfId="0" applyFont="1" applyAlignment="1" applyProtection="1">
      <alignment horizontal="left"/>
      <protection locked="0"/>
    </xf>
    <xf numFmtId="164" fontId="4" fillId="0" borderId="0" xfId="0" applyFont="1"/>
    <xf numFmtId="164" fontId="8" fillId="0" borderId="0" xfId="0" applyFont="1" applyProtection="1">
      <protection locked="0"/>
    </xf>
    <xf numFmtId="164" fontId="9" fillId="0" borderId="0" xfId="0" applyFont="1" applyAlignment="1">
      <alignment horizontal="left"/>
    </xf>
    <xf numFmtId="37" fontId="10" fillId="0" borderId="0" xfId="0" applyNumberFormat="1" applyFont="1" applyProtection="1">
      <protection locked="0"/>
    </xf>
    <xf numFmtId="164" fontId="10" fillId="0" borderId="0" xfId="0" applyFont="1" applyProtection="1">
      <protection locked="0"/>
    </xf>
    <xf numFmtId="164" fontId="9" fillId="0" borderId="0" xfId="0" applyFont="1"/>
    <xf numFmtId="164" fontId="10" fillId="0" borderId="0" xfId="0" applyFont="1" applyAlignment="1" applyProtection="1">
      <alignment horizontal="left"/>
      <protection locked="0"/>
    </xf>
    <xf numFmtId="164" fontId="11" fillId="0" borderId="0" xfId="0" applyFont="1" applyAlignment="1">
      <alignment horizontal="left"/>
    </xf>
    <xf numFmtId="164" fontId="3" fillId="0" borderId="0" xfId="0" applyFont="1" applyAlignment="1">
      <alignment horizontal="left"/>
    </xf>
    <xf numFmtId="164" fontId="12" fillId="0" borderId="0" xfId="0" applyFont="1"/>
    <xf numFmtId="164" fontId="3" fillId="0" borderId="0" xfId="0" applyFont="1" applyProtection="1">
      <protection locked="0"/>
    </xf>
    <xf numFmtId="164" fontId="13" fillId="0" borderId="0" xfId="0" applyFont="1"/>
    <xf numFmtId="164" fontId="12" fillId="0" borderId="0" xfId="0" applyFont="1" applyAlignment="1">
      <alignment horizontal="centerContinuous"/>
    </xf>
    <xf numFmtId="164" fontId="4" fillId="0" borderId="0" xfId="0" applyFont="1" applyAlignment="1">
      <alignment horizontal="centerContinuous"/>
    </xf>
    <xf numFmtId="164" fontId="14" fillId="0" borderId="0" xfId="0" applyFont="1" applyAlignment="1">
      <alignment horizontal="centerContinuous"/>
    </xf>
    <xf numFmtId="164" fontId="7" fillId="0" borderId="0" xfId="0" applyFont="1" applyAlignment="1">
      <alignment horizontal="centerContinuous"/>
    </xf>
    <xf numFmtId="164" fontId="9" fillId="0" borderId="0" xfId="0" applyFont="1" applyAlignment="1">
      <alignment horizontal="centerContinuous"/>
    </xf>
    <xf numFmtId="164" fontId="13" fillId="0" borderId="0" xfId="0" applyFont="1" applyAlignment="1">
      <alignment horizontal="centerContinuous"/>
    </xf>
    <xf numFmtId="164" fontId="9" fillId="0" borderId="9" xfId="0" applyFont="1" applyBorder="1" applyAlignment="1">
      <alignment horizontal="left"/>
    </xf>
    <xf numFmtId="164" fontId="9" fillId="0" borderId="10" xfId="0" applyFont="1" applyBorder="1" applyAlignment="1">
      <alignment horizontal="left"/>
    </xf>
    <xf numFmtId="164" fontId="9" fillId="0" borderId="11" xfId="0" applyFont="1" applyBorder="1"/>
    <xf numFmtId="164" fontId="9" fillId="0" borderId="12" xfId="0" applyFont="1" applyBorder="1"/>
    <xf numFmtId="164" fontId="9" fillId="0" borderId="13" xfId="0" applyFont="1" applyBorder="1" applyAlignment="1">
      <alignment horizontal="left"/>
    </xf>
    <xf numFmtId="164" fontId="9" fillId="0" borderId="14" xfId="0" applyFont="1" applyBorder="1"/>
    <xf numFmtId="164" fontId="9" fillId="0" borderId="7" xfId="0" applyFont="1" applyBorder="1" applyAlignment="1">
      <alignment horizontal="left"/>
    </xf>
    <xf numFmtId="164" fontId="9" fillId="0" borderId="8" xfId="0" applyFont="1" applyBorder="1"/>
    <xf numFmtId="164" fontId="16" fillId="0" borderId="0" xfId="0" applyFont="1" applyAlignment="1">
      <alignment horizontal="left"/>
    </xf>
    <xf numFmtId="164" fontId="17" fillId="0" borderId="0" xfId="0" applyFont="1" applyAlignment="1">
      <alignment horizontal="centerContinuous"/>
    </xf>
    <xf numFmtId="164" fontId="18" fillId="0" borderId="0" xfId="0" applyFont="1" applyAlignment="1">
      <alignment horizontal="left"/>
    </xf>
    <xf numFmtId="164" fontId="19" fillId="0" borderId="0" xfId="0" applyFont="1"/>
    <xf numFmtId="164" fontId="18" fillId="0" borderId="0" xfId="0" applyFont="1" applyProtection="1">
      <protection locked="0"/>
    </xf>
    <xf numFmtId="164" fontId="18" fillId="0" borderId="0" xfId="0" applyFont="1" applyAlignment="1" applyProtection="1">
      <alignment horizontal="left"/>
      <protection locked="0"/>
    </xf>
    <xf numFmtId="164" fontId="18" fillId="0" borderId="0" xfId="0" applyFont="1"/>
    <xf numFmtId="171" fontId="18" fillId="0" borderId="0" xfId="0" applyNumberFormat="1" applyFont="1"/>
    <xf numFmtId="11" fontId="0" fillId="0" borderId="18" xfId="0" applyNumberFormat="1" applyBorder="1" applyAlignment="1">
      <alignment horizontal="center"/>
    </xf>
    <xf numFmtId="11" fontId="0" fillId="0" borderId="19" xfId="0" applyNumberFormat="1" applyBorder="1" applyAlignment="1">
      <alignment horizontal="center"/>
    </xf>
    <xf numFmtId="171" fontId="0" fillId="0" borderId="0" xfId="0" applyNumberFormat="1"/>
    <xf numFmtId="164" fontId="20" fillId="0" borderId="0" xfId="0" applyFont="1"/>
    <xf numFmtId="164" fontId="21" fillId="0" borderId="0" xfId="0" applyFont="1"/>
    <xf numFmtId="164" fontId="9" fillId="0" borderId="10" xfId="0" applyFont="1" applyBorder="1"/>
    <xf numFmtId="11" fontId="0" fillId="0" borderId="15" xfId="0" applyNumberFormat="1" applyBorder="1" applyAlignment="1">
      <alignment horizontal="center"/>
    </xf>
    <xf numFmtId="11" fontId="0" fillId="0" borderId="28" xfId="0" applyNumberFormat="1" applyBorder="1" applyAlignment="1">
      <alignment horizontal="center"/>
    </xf>
    <xf numFmtId="11" fontId="0" fillId="0" borderId="29" xfId="0" applyNumberFormat="1" applyBorder="1" applyAlignment="1">
      <alignment horizontal="center"/>
    </xf>
    <xf numFmtId="11" fontId="0" fillId="0" borderId="30" xfId="0" applyNumberFormat="1" applyBorder="1" applyAlignment="1">
      <alignment horizontal="center"/>
    </xf>
    <xf numFmtId="166" fontId="0" fillId="0" borderId="19" xfId="0" applyNumberFormat="1" applyBorder="1" applyAlignment="1">
      <alignment horizontal="center"/>
    </xf>
    <xf numFmtId="11" fontId="0" fillId="0" borderId="31" xfId="0" applyNumberFormat="1" applyBorder="1" applyAlignment="1">
      <alignment horizontal="center"/>
    </xf>
    <xf numFmtId="11" fontId="0" fillId="0" borderId="32" xfId="0" applyNumberFormat="1" applyBorder="1" applyAlignment="1">
      <alignment horizontal="center"/>
    </xf>
    <xf numFmtId="11" fontId="0" fillId="0" borderId="33" xfId="0" applyNumberFormat="1" applyBorder="1" applyAlignment="1">
      <alignment horizontal="center"/>
    </xf>
    <xf numFmtId="164" fontId="24" fillId="0" borderId="0" xfId="0" applyFont="1"/>
    <xf numFmtId="11" fontId="0" fillId="0" borderId="34" xfId="0" applyNumberFormat="1" applyBorder="1" applyAlignment="1">
      <alignment horizontal="center"/>
    </xf>
    <xf numFmtId="11" fontId="0" fillId="0" borderId="12" xfId="0" applyNumberFormat="1" applyBorder="1" applyAlignment="1">
      <alignment horizontal="center"/>
    </xf>
    <xf numFmtId="11" fontId="0" fillId="0" borderId="14" xfId="0" applyNumberFormat="1" applyBorder="1" applyAlignment="1">
      <alignment horizontal="center"/>
    </xf>
    <xf numFmtId="11" fontId="0" fillId="0" borderId="35" xfId="0" applyNumberFormat="1" applyBorder="1" applyAlignment="1">
      <alignment horizontal="center"/>
    </xf>
    <xf numFmtId="11" fontId="0" fillId="0" borderId="36" xfId="0" applyNumberFormat="1" applyBorder="1" applyAlignment="1">
      <alignment horizontal="center"/>
    </xf>
    <xf numFmtId="11" fontId="0" fillId="0" borderId="37" xfId="0" applyNumberFormat="1" applyBorder="1" applyAlignment="1">
      <alignment horizontal="center"/>
    </xf>
    <xf numFmtId="11" fontId="0" fillId="0" borderId="38" xfId="0" applyNumberFormat="1" applyBorder="1" applyAlignment="1">
      <alignment horizontal="center"/>
    </xf>
    <xf numFmtId="11" fontId="0" fillId="0" borderId="39" xfId="0" applyNumberFormat="1" applyBorder="1" applyAlignment="1">
      <alignment horizontal="center"/>
    </xf>
    <xf numFmtId="11" fontId="0" fillId="0" borderId="40" xfId="0" applyNumberFormat="1" applyBorder="1" applyAlignment="1">
      <alignment horizontal="center"/>
    </xf>
    <xf numFmtId="166" fontId="0" fillId="0" borderId="40" xfId="0" applyNumberFormat="1" applyBorder="1" applyAlignment="1">
      <alignment horizontal="center"/>
    </xf>
    <xf numFmtId="174" fontId="0" fillId="0" borderId="0" xfId="0" applyNumberFormat="1"/>
    <xf numFmtId="164" fontId="0" fillId="0" borderId="30" xfId="0" applyBorder="1"/>
    <xf numFmtId="166" fontId="0" fillId="0" borderId="10" xfId="0" applyNumberFormat="1" applyBorder="1" applyAlignment="1">
      <alignment horizontal="center"/>
    </xf>
    <xf numFmtId="166" fontId="0" fillId="0" borderId="30" xfId="0" applyNumberFormat="1" applyBorder="1" applyAlignment="1">
      <alignment horizontal="center"/>
    </xf>
    <xf numFmtId="37" fontId="18" fillId="0" borderId="0" xfId="0" applyNumberFormat="1" applyFont="1" applyProtection="1">
      <protection locked="0"/>
    </xf>
    <xf numFmtId="164" fontId="25" fillId="0" borderId="0" xfId="0" applyFont="1" applyAlignment="1">
      <alignment horizontal="left"/>
    </xf>
    <xf numFmtId="164" fontId="3" fillId="0" borderId="0" xfId="0" applyFont="1" applyAlignment="1">
      <alignment horizontal="right"/>
    </xf>
    <xf numFmtId="164" fontId="25" fillId="0" borderId="0" xfId="0" applyFont="1"/>
    <xf numFmtId="164" fontId="27" fillId="0" borderId="0" xfId="0" applyFont="1"/>
    <xf numFmtId="164" fontId="27" fillId="0" borderId="0" xfId="0" applyFont="1" applyAlignment="1">
      <alignment horizontal="right"/>
    </xf>
    <xf numFmtId="37" fontId="9" fillId="0" borderId="0" xfId="0" applyNumberFormat="1" applyFont="1" applyProtection="1">
      <protection locked="0"/>
    </xf>
    <xf numFmtId="172" fontId="9" fillId="0" borderId="0" xfId="0" applyNumberFormat="1" applyFont="1" applyProtection="1">
      <protection locked="0"/>
    </xf>
    <xf numFmtId="164" fontId="9" fillId="0" borderId="0" xfId="0" applyFont="1" applyProtection="1">
      <protection locked="0"/>
    </xf>
    <xf numFmtId="2" fontId="9" fillId="0" borderId="0" xfId="0" applyNumberFormat="1" applyFont="1" applyProtection="1">
      <protection locked="0"/>
    </xf>
    <xf numFmtId="174" fontId="9" fillId="0" borderId="0" xfId="0" applyNumberFormat="1" applyFont="1" applyProtection="1">
      <protection locked="0"/>
    </xf>
    <xf numFmtId="164" fontId="18" fillId="0" borderId="0" xfId="0" applyFont="1" applyAlignment="1">
      <alignment horizontal="center"/>
    </xf>
    <xf numFmtId="164" fontId="28" fillId="0" borderId="0" xfId="0" applyFont="1" applyAlignment="1" applyProtection="1">
      <alignment horizontal="right"/>
      <protection locked="0"/>
    </xf>
    <xf numFmtId="164" fontId="13" fillId="0" borderId="0" xfId="0" applyFont="1" applyAlignment="1">
      <alignment horizontal="left"/>
    </xf>
    <xf numFmtId="164" fontId="18" fillId="0" borderId="0" xfId="0" applyFont="1" applyAlignment="1">
      <alignment horizontal="right"/>
    </xf>
    <xf numFmtId="3" fontId="18" fillId="0" borderId="0" xfId="0" applyNumberFormat="1" applyFont="1" applyAlignment="1">
      <alignment horizontal="center"/>
    </xf>
    <xf numFmtId="3" fontId="22" fillId="0" borderId="0" xfId="0" applyNumberFormat="1" applyFont="1" applyAlignment="1">
      <alignment horizontal="center"/>
    </xf>
    <xf numFmtId="3" fontId="9" fillId="0" borderId="0" xfId="0" applyNumberFormat="1" applyFont="1" applyProtection="1">
      <protection locked="0"/>
    </xf>
    <xf numFmtId="164" fontId="0" fillId="2" borderId="54" xfId="0" applyFill="1" applyBorder="1"/>
    <xf numFmtId="164" fontId="0" fillId="2" borderId="55" xfId="0" applyFill="1" applyBorder="1"/>
    <xf numFmtId="164" fontId="9" fillId="2" borderId="7" xfId="0" applyFont="1" applyFill="1" applyBorder="1"/>
    <xf numFmtId="164" fontId="9" fillId="2" borderId="7" xfId="0" applyFont="1" applyFill="1" applyBorder="1" applyAlignment="1">
      <alignment horizontal="centerContinuous"/>
    </xf>
    <xf numFmtId="164" fontId="9" fillId="2" borderId="56" xfId="0" applyFont="1" applyFill="1" applyBorder="1" applyAlignment="1">
      <alignment horizontal="center"/>
    </xf>
    <xf numFmtId="178" fontId="9" fillId="0" borderId="0" xfId="0" applyNumberFormat="1" applyFont="1" applyProtection="1">
      <protection locked="0"/>
    </xf>
    <xf numFmtId="164" fontId="9" fillId="2" borderId="54" xfId="0" applyFont="1" applyFill="1" applyBorder="1"/>
    <xf numFmtId="164" fontId="9" fillId="2" borderId="56" xfId="0" applyFont="1" applyFill="1" applyBorder="1"/>
    <xf numFmtId="164" fontId="0" fillId="2" borderId="56" xfId="0" applyFill="1" applyBorder="1"/>
    <xf numFmtId="164" fontId="4" fillId="2" borderId="8" xfId="0" applyFont="1" applyFill="1" applyBorder="1" applyAlignment="1">
      <alignment horizontal="centerContinuous"/>
    </xf>
    <xf numFmtId="164" fontId="9" fillId="2" borderId="66" xfId="0" applyFont="1" applyFill="1" applyBorder="1"/>
    <xf numFmtId="164" fontId="4" fillId="2" borderId="67" xfId="0" applyFont="1" applyFill="1" applyBorder="1"/>
    <xf numFmtId="164" fontId="4" fillId="2" borderId="8" xfId="0" applyFont="1" applyFill="1" applyBorder="1"/>
    <xf numFmtId="164" fontId="9" fillId="2" borderId="68" xfId="0" applyFont="1" applyFill="1" applyBorder="1" applyAlignment="1">
      <alignment horizontal="center"/>
    </xf>
    <xf numFmtId="164" fontId="9" fillId="2" borderId="55" xfId="0" applyFont="1" applyFill="1" applyBorder="1" applyAlignment="1">
      <alignment horizontal="center"/>
    </xf>
    <xf numFmtId="164" fontId="9" fillId="2" borderId="69" xfId="0" applyFont="1" applyFill="1" applyBorder="1" applyAlignment="1">
      <alignment horizontal="center"/>
    </xf>
    <xf numFmtId="164" fontId="9" fillId="2" borderId="41" xfId="0" applyFont="1" applyFill="1" applyBorder="1" applyAlignment="1">
      <alignment horizontal="centerContinuous"/>
    </xf>
    <xf numFmtId="164" fontId="9" fillId="2" borderId="46" xfId="0" applyFont="1" applyFill="1" applyBorder="1" applyAlignment="1">
      <alignment horizontal="centerContinuous"/>
    </xf>
    <xf numFmtId="164" fontId="9" fillId="2" borderId="70" xfId="0" applyFont="1" applyFill="1" applyBorder="1" applyAlignment="1">
      <alignment horizontal="center"/>
    </xf>
    <xf numFmtId="164" fontId="9" fillId="2" borderId="71" xfId="0" applyFont="1" applyFill="1" applyBorder="1" applyAlignment="1">
      <alignment horizontal="center"/>
    </xf>
    <xf numFmtId="164" fontId="9" fillId="2" borderId="72" xfId="0" applyFont="1" applyFill="1" applyBorder="1" applyAlignment="1">
      <alignment horizontal="center"/>
    </xf>
    <xf numFmtId="164" fontId="9" fillId="2" borderId="73" xfId="0" applyFont="1" applyFill="1" applyBorder="1" applyAlignment="1">
      <alignment horizontal="center"/>
    </xf>
    <xf numFmtId="164" fontId="9" fillId="2" borderId="74" xfId="0" applyFont="1" applyFill="1" applyBorder="1" applyAlignment="1">
      <alignment horizontal="center"/>
    </xf>
    <xf numFmtId="164" fontId="0" fillId="0" borderId="40" xfId="0" applyBorder="1"/>
    <xf numFmtId="11" fontId="0" fillId="0" borderId="75" xfId="0" applyNumberFormat="1" applyBorder="1" applyAlignment="1">
      <alignment horizontal="center"/>
    </xf>
    <xf numFmtId="164" fontId="9" fillId="5" borderId="0" xfId="0" applyFont="1" applyFill="1"/>
    <xf numFmtId="164" fontId="0" fillId="5" borderId="0" xfId="0" applyFill="1"/>
    <xf numFmtId="164" fontId="2" fillId="5" borderId="0" xfId="0" applyFont="1" applyFill="1" applyProtection="1">
      <protection locked="0"/>
    </xf>
    <xf numFmtId="164" fontId="10" fillId="5" borderId="0" xfId="0" applyFont="1" applyFill="1" applyProtection="1">
      <protection locked="0"/>
    </xf>
    <xf numFmtId="164" fontId="0" fillId="0" borderId="0" xfId="0" applyProtection="1">
      <protection locked="0"/>
    </xf>
    <xf numFmtId="164" fontId="7" fillId="0" borderId="0" xfId="0" applyFont="1" applyAlignment="1">
      <alignment horizontal="right"/>
    </xf>
    <xf numFmtId="164" fontId="27" fillId="0" borderId="0" xfId="0" applyFont="1" applyAlignment="1">
      <alignment horizontal="center"/>
    </xf>
    <xf numFmtId="164" fontId="23" fillId="0" borderId="0" xfId="0" applyFont="1" applyAlignment="1">
      <alignment horizontal="center"/>
    </xf>
    <xf numFmtId="1" fontId="9" fillId="0" borderId="0" xfId="0" applyNumberFormat="1" applyFont="1" applyProtection="1">
      <protection locked="0"/>
    </xf>
    <xf numFmtId="176" fontId="9" fillId="0" borderId="0" xfId="0" applyNumberFormat="1" applyFont="1" applyProtection="1">
      <protection locked="0"/>
    </xf>
    <xf numFmtId="4" fontId="9" fillId="0" borderId="0" xfId="0" applyNumberFormat="1" applyFont="1" applyProtection="1">
      <protection locked="0"/>
    </xf>
    <xf numFmtId="177" fontId="9" fillId="0" borderId="0" xfId="0" applyNumberFormat="1" applyFont="1" applyProtection="1">
      <protection locked="0"/>
    </xf>
    <xf numFmtId="171" fontId="9" fillId="0" borderId="0" xfId="0" applyNumberFormat="1" applyFont="1" applyProtection="1">
      <protection locked="0"/>
    </xf>
    <xf numFmtId="0" fontId="31" fillId="0" borderId="0" xfId="5"/>
    <xf numFmtId="0" fontId="32" fillId="8" borderId="0" xfId="6" applyFont="1" applyFill="1"/>
    <xf numFmtId="0" fontId="1" fillId="8" borderId="0" xfId="6" applyFill="1"/>
    <xf numFmtId="0" fontId="1" fillId="0" borderId="0" xfId="6"/>
    <xf numFmtId="0" fontId="33" fillId="8" borderId="0" xfId="6" applyFont="1" applyFill="1"/>
    <xf numFmtId="0" fontId="34" fillId="0" borderId="0" xfId="6" applyFont="1"/>
    <xf numFmtId="0" fontId="1" fillId="0" borderId="0" xfId="6" applyAlignment="1">
      <alignment horizontal="left" indent="1"/>
    </xf>
    <xf numFmtId="178" fontId="1" fillId="0" borderId="0" xfId="6" applyNumberFormat="1"/>
    <xf numFmtId="0" fontId="1" fillId="0" borderId="0" xfId="6" applyAlignment="1">
      <alignment vertical="top" wrapText="1"/>
    </xf>
    <xf numFmtId="0" fontId="1" fillId="0" borderId="0" xfId="6" applyAlignment="1">
      <alignment vertical="top"/>
    </xf>
    <xf numFmtId="164" fontId="36" fillId="0" borderId="0" xfId="0" applyFont="1"/>
    <xf numFmtId="164" fontId="37" fillId="0" borderId="145" xfId="0" applyFont="1" applyBorder="1" applyAlignment="1">
      <alignment wrapText="1"/>
    </xf>
    <xf numFmtId="164" fontId="36" fillId="0" borderId="0" xfId="0" applyFont="1" applyAlignment="1">
      <alignment horizontal="center" vertical="center" wrapText="1"/>
    </xf>
    <xf numFmtId="164" fontId="36" fillId="0" borderId="152" xfId="0" applyFont="1" applyBorder="1" applyAlignment="1">
      <alignment horizontal="center" vertical="center" wrapText="1"/>
    </xf>
    <xf numFmtId="174" fontId="36" fillId="0" borderId="157" xfId="0" applyNumberFormat="1" applyFont="1" applyBorder="1" applyAlignment="1">
      <alignment horizontal="center" vertical="center"/>
    </xf>
    <xf numFmtId="174" fontId="36" fillId="0" borderId="158" xfId="0" applyNumberFormat="1" applyFont="1" applyBorder="1" applyAlignment="1">
      <alignment horizontal="center" vertical="center"/>
    </xf>
    <xf numFmtId="174" fontId="36" fillId="0" borderId="163" xfId="0" applyNumberFormat="1" applyFont="1" applyBorder="1" applyAlignment="1">
      <alignment horizontal="center" vertical="center"/>
    </xf>
    <xf numFmtId="164" fontId="6" fillId="0" borderId="0" xfId="0" applyFont="1" applyAlignment="1">
      <alignment horizontal="center"/>
    </xf>
    <xf numFmtId="164" fontId="38" fillId="0" borderId="0" xfId="0" applyFont="1"/>
    <xf numFmtId="164" fontId="38" fillId="0" borderId="146" xfId="0" applyFont="1" applyBorder="1" applyAlignment="1">
      <alignment horizontal="center" vertical="center" wrapText="1"/>
    </xf>
    <xf numFmtId="164" fontId="38" fillId="18" borderId="147" xfId="0" applyFont="1" applyFill="1" applyBorder="1" applyAlignment="1">
      <alignment horizontal="center" vertical="center" wrapText="1"/>
    </xf>
    <xf numFmtId="164" fontId="38" fillId="0" borderId="147" xfId="0" applyFont="1" applyBorder="1" applyAlignment="1">
      <alignment horizontal="center" vertical="center" wrapText="1"/>
    </xf>
    <xf numFmtId="164" fontId="39" fillId="0" borderId="148" xfId="0" applyFont="1" applyBorder="1" applyAlignment="1">
      <alignment horizontal="center" vertical="center" wrapText="1"/>
    </xf>
    <xf numFmtId="164" fontId="38" fillId="0" borderId="149" xfId="0" applyFont="1" applyBorder="1" applyAlignment="1">
      <alignment horizontal="center" vertical="center" wrapText="1"/>
    </xf>
    <xf numFmtId="164" fontId="38" fillId="0" borderId="153" xfId="0" applyFont="1" applyBorder="1" applyAlignment="1">
      <alignment vertical="center" wrapText="1"/>
    </xf>
    <xf numFmtId="164" fontId="38" fillId="18" borderId="82" xfId="0" applyFont="1" applyFill="1" applyBorder="1" applyAlignment="1">
      <alignment horizontal="center" vertical="center" wrapText="1"/>
    </xf>
    <xf numFmtId="164" fontId="38" fillId="0" borderId="82" xfId="0" applyFont="1" applyBorder="1" applyAlignment="1">
      <alignment horizontal="center" vertical="center" wrapText="1"/>
    </xf>
    <xf numFmtId="174" fontId="38" fillId="0" borderId="154" xfId="0" applyNumberFormat="1" applyFont="1" applyBorder="1" applyAlignment="1">
      <alignment horizontal="center" vertical="center" wrapText="1"/>
    </xf>
    <xf numFmtId="174" fontId="38" fillId="0" borderId="132" xfId="0" applyNumberFormat="1" applyFont="1" applyBorder="1" applyAlignment="1">
      <alignment horizontal="center" vertical="center" wrapText="1"/>
    </xf>
    <xf numFmtId="2" fontId="38" fillId="0" borderId="132" xfId="0" applyNumberFormat="1" applyFont="1" applyBorder="1" applyAlignment="1">
      <alignment horizontal="center" vertical="center" wrapText="1"/>
    </xf>
    <xf numFmtId="164" fontId="38" fillId="0" borderId="159" xfId="0" applyFont="1" applyBorder="1" applyAlignment="1">
      <alignment vertical="center" wrapText="1"/>
    </xf>
    <xf numFmtId="164" fontId="38" fillId="18" borderId="160" xfId="0" applyFont="1" applyFill="1" applyBorder="1" applyAlignment="1">
      <alignment horizontal="center" vertical="center" wrapText="1"/>
    </xf>
    <xf numFmtId="164" fontId="38" fillId="0" borderId="160" xfId="0" applyFont="1" applyBorder="1" applyAlignment="1">
      <alignment horizontal="center" vertical="center" wrapText="1"/>
    </xf>
    <xf numFmtId="2" fontId="38" fillId="0" borderId="160" xfId="0" applyNumberFormat="1" applyFont="1" applyBorder="1" applyAlignment="1">
      <alignment horizontal="center" vertical="center" wrapText="1"/>
    </xf>
    <xf numFmtId="2" fontId="38" fillId="18" borderId="160" xfId="0" applyNumberFormat="1" applyFont="1" applyFill="1" applyBorder="1" applyAlignment="1">
      <alignment horizontal="center" vertical="center" wrapText="1"/>
    </xf>
    <xf numFmtId="174" fontId="38" fillId="0" borderId="161" xfId="0" applyNumberFormat="1" applyFont="1" applyBorder="1" applyAlignment="1">
      <alignment horizontal="center" vertical="center" wrapText="1"/>
    </xf>
    <xf numFmtId="2" fontId="38" fillId="0" borderId="162" xfId="0" applyNumberFormat="1" applyFont="1" applyBorder="1" applyAlignment="1">
      <alignment horizontal="center" vertical="center" wrapText="1"/>
    </xf>
    <xf numFmtId="164" fontId="38" fillId="0" borderId="0" xfId="0" applyFont="1" applyAlignment="1">
      <alignment vertical="center"/>
    </xf>
    <xf numFmtId="164" fontId="42" fillId="0" borderId="0" xfId="0" applyFont="1"/>
    <xf numFmtId="164" fontId="38" fillId="0" borderId="150" xfId="0" applyFont="1" applyBorder="1" applyAlignment="1">
      <alignment horizontal="center" vertical="center" wrapText="1"/>
    </xf>
    <xf numFmtId="164" fontId="38" fillId="0" borderId="151" xfId="0" applyFont="1" applyBorder="1" applyAlignment="1">
      <alignment horizontal="center" vertical="center" wrapText="1"/>
    </xf>
    <xf numFmtId="174" fontId="38" fillId="0" borderId="155" xfId="0" applyNumberFormat="1" applyFont="1" applyBorder="1" applyAlignment="1">
      <alignment horizontal="center" vertical="center"/>
    </xf>
    <xf numFmtId="174" fontId="38" fillId="0" borderId="156" xfId="0" applyNumberFormat="1" applyFont="1" applyBorder="1" applyAlignment="1">
      <alignment horizontal="center" vertical="center"/>
    </xf>
    <xf numFmtId="174" fontId="38" fillId="0" borderId="153" xfId="0" applyNumberFormat="1" applyFont="1" applyBorder="1" applyAlignment="1">
      <alignment horizontal="center" vertical="center"/>
    </xf>
    <xf numFmtId="174" fontId="38" fillId="0" borderId="154" xfId="0" applyNumberFormat="1" applyFont="1" applyBorder="1" applyAlignment="1">
      <alignment horizontal="center" vertical="center"/>
    </xf>
    <xf numFmtId="2" fontId="38" fillId="0" borderId="153" xfId="0" applyNumberFormat="1" applyFont="1" applyBorder="1" applyAlignment="1">
      <alignment horizontal="center" vertical="center"/>
    </xf>
    <xf numFmtId="174" fontId="38" fillId="0" borderId="159" xfId="0" applyNumberFormat="1" applyFont="1" applyBorder="1" applyAlignment="1">
      <alignment horizontal="center" vertical="center"/>
    </xf>
    <xf numFmtId="174" fontId="38" fillId="0" borderId="161" xfId="0" applyNumberFormat="1" applyFont="1" applyBorder="1" applyAlignment="1">
      <alignment horizontal="center" vertical="center"/>
    </xf>
    <xf numFmtId="164" fontId="43" fillId="0" borderId="0" xfId="0" applyFont="1"/>
    <xf numFmtId="164" fontId="45" fillId="0" borderId="0" xfId="0" applyFont="1"/>
    <xf numFmtId="164" fontId="44" fillId="0" borderId="0" xfId="0" applyFont="1"/>
    <xf numFmtId="164" fontId="43" fillId="0" borderId="0" xfId="0" applyFont="1" applyAlignment="1">
      <alignment horizontal="centerContinuous"/>
    </xf>
    <xf numFmtId="164" fontId="43" fillId="0" borderId="0" xfId="0" applyFont="1" applyAlignment="1">
      <alignment horizontal="left"/>
    </xf>
    <xf numFmtId="164" fontId="44" fillId="0" borderId="0" xfId="0" applyFont="1" applyAlignment="1">
      <alignment horizontal="centerContinuous"/>
    </xf>
    <xf numFmtId="164" fontId="44" fillId="10" borderId="83" xfId="0" applyFont="1" applyFill="1" applyBorder="1"/>
    <xf numFmtId="164" fontId="46" fillId="0" borderId="5" xfId="0" applyFont="1" applyBorder="1" applyAlignment="1">
      <alignment horizontal="center"/>
    </xf>
    <xf numFmtId="164" fontId="48" fillId="0" borderId="0" xfId="0" applyFont="1" applyAlignment="1">
      <alignment horizontal="center"/>
    </xf>
    <xf numFmtId="164" fontId="48" fillId="0" borderId="0" xfId="0" applyFont="1" applyAlignment="1">
      <alignment horizontal="left"/>
    </xf>
    <xf numFmtId="164" fontId="48" fillId="0" borderId="0" xfId="0" applyFont="1"/>
    <xf numFmtId="164" fontId="44" fillId="0" borderId="0" xfId="0" applyFont="1" applyAlignment="1">
      <alignment horizontal="center"/>
    </xf>
    <xf numFmtId="164" fontId="44" fillId="0" borderId="0" xfId="0" applyFont="1" applyAlignment="1">
      <alignment horizontal="left"/>
    </xf>
    <xf numFmtId="164" fontId="49" fillId="0" borderId="41" xfId="0" applyFont="1" applyBorder="1" applyAlignment="1">
      <alignment horizontal="left"/>
    </xf>
    <xf numFmtId="37" fontId="49" fillId="0" borderId="42" xfId="0" applyNumberFormat="1" applyFont="1" applyBorder="1"/>
    <xf numFmtId="164" fontId="49" fillId="0" borderId="4" xfId="0" applyFont="1" applyBorder="1" applyAlignment="1">
      <alignment horizontal="left"/>
    </xf>
    <xf numFmtId="164" fontId="50" fillId="0" borderId="43" xfId="0" applyFont="1" applyBorder="1" applyAlignment="1">
      <alignment horizontal="center"/>
    </xf>
    <xf numFmtId="37" fontId="49" fillId="0" borderId="4" xfId="0" applyNumberFormat="1" applyFont="1" applyBorder="1"/>
    <xf numFmtId="164" fontId="50" fillId="0" borderId="4" xfId="0" applyFont="1" applyBorder="1" applyAlignment="1">
      <alignment horizontal="center"/>
    </xf>
    <xf numFmtId="164" fontId="50" fillId="0" borderId="46" xfId="0" applyFont="1" applyBorder="1" applyAlignment="1">
      <alignment horizontal="center"/>
    </xf>
    <xf numFmtId="37" fontId="49" fillId="0" borderId="44" xfId="0" applyNumberFormat="1" applyFont="1" applyBorder="1"/>
    <xf numFmtId="164" fontId="49" fillId="0" borderId="1" xfId="0" applyFont="1" applyBorder="1" applyAlignment="1">
      <alignment horizontal="left"/>
    </xf>
    <xf numFmtId="164" fontId="50" fillId="0" borderId="45" xfId="0" applyFont="1" applyBorder="1" applyAlignment="1">
      <alignment horizontal="center"/>
    </xf>
    <xf numFmtId="37" fontId="49" fillId="0" borderId="1" xfId="0" applyNumberFormat="1" applyFont="1" applyBorder="1"/>
    <xf numFmtId="164" fontId="50" fillId="0" borderId="1" xfId="0" applyFont="1" applyBorder="1" applyAlignment="1">
      <alignment horizontal="center"/>
    </xf>
    <xf numFmtId="164" fontId="50" fillId="0" borderId="3" xfId="0" applyFont="1" applyBorder="1" applyAlignment="1">
      <alignment horizontal="center"/>
    </xf>
    <xf numFmtId="164" fontId="49" fillId="0" borderId="47" xfId="0" applyFont="1" applyBorder="1" applyAlignment="1">
      <alignment horizontal="left"/>
    </xf>
    <xf numFmtId="37" fontId="49" fillId="0" borderId="48" xfId="0" applyNumberFormat="1" applyFont="1" applyBorder="1"/>
    <xf numFmtId="164" fontId="49" fillId="0" borderId="49" xfId="0" applyFont="1" applyBorder="1" applyAlignment="1">
      <alignment horizontal="left"/>
    </xf>
    <xf numFmtId="164" fontId="50" fillId="0" borderId="50" xfId="0" applyFont="1" applyBorder="1" applyAlignment="1">
      <alignment horizontal="center"/>
    </xf>
    <xf numFmtId="37" fontId="49" fillId="0" borderId="49" xfId="0" applyNumberFormat="1" applyFont="1" applyBorder="1"/>
    <xf numFmtId="164" fontId="50" fillId="0" borderId="49" xfId="0" applyFont="1" applyBorder="1" applyAlignment="1">
      <alignment horizontal="center"/>
    </xf>
    <xf numFmtId="164" fontId="50" fillId="0" borderId="51" xfId="0" applyFont="1" applyBorder="1" applyAlignment="1">
      <alignment horizontal="center"/>
    </xf>
    <xf numFmtId="164" fontId="49" fillId="0" borderId="0" xfId="0" applyFont="1"/>
    <xf numFmtId="164" fontId="50" fillId="0" borderId="0" xfId="0" applyFont="1"/>
    <xf numFmtId="164" fontId="51" fillId="0" borderId="0" xfId="0" applyFont="1"/>
    <xf numFmtId="164" fontId="52" fillId="0" borderId="0" xfId="0" applyFont="1"/>
    <xf numFmtId="164" fontId="51" fillId="0" borderId="0" xfId="0" applyFont="1" applyAlignment="1">
      <alignment horizontal="centerContinuous"/>
    </xf>
    <xf numFmtId="164" fontId="52" fillId="0" borderId="0" xfId="0" applyFont="1" applyAlignment="1">
      <alignment horizontal="centerContinuous"/>
    </xf>
    <xf numFmtId="164" fontId="51" fillId="0" borderId="0" xfId="0" applyFont="1" applyAlignment="1">
      <alignment horizontal="left"/>
    </xf>
    <xf numFmtId="164" fontId="49" fillId="0" borderId="0" xfId="0" applyFont="1" applyAlignment="1">
      <alignment horizontal="centerContinuous"/>
    </xf>
    <xf numFmtId="164" fontId="50" fillId="0" borderId="0" xfId="0" applyFont="1" applyAlignment="1">
      <alignment horizontal="centerContinuous"/>
    </xf>
    <xf numFmtId="164" fontId="54" fillId="0" borderId="0" xfId="0" applyFont="1" applyAlignment="1">
      <alignment horizontal="centerContinuous"/>
    </xf>
    <xf numFmtId="164" fontId="55" fillId="0" borderId="0" xfId="0" applyFont="1" applyAlignment="1">
      <alignment horizontal="centerContinuous"/>
    </xf>
    <xf numFmtId="164" fontId="50" fillId="2" borderId="83" xfId="0" applyFont="1" applyFill="1" applyBorder="1" applyAlignment="1">
      <alignment horizontal="center" vertical="center"/>
    </xf>
    <xf numFmtId="164" fontId="50" fillId="2" borderId="84" xfId="0" applyFont="1" applyFill="1" applyBorder="1" applyAlignment="1">
      <alignment horizontal="center" vertical="center"/>
    </xf>
    <xf numFmtId="164" fontId="49" fillId="0" borderId="5" xfId="0" applyFont="1" applyBorder="1" applyAlignment="1">
      <alignment horizontal="centerContinuous"/>
    </xf>
    <xf numFmtId="164" fontId="49" fillId="0" borderId="3" xfId="0" applyFont="1" applyBorder="1" applyAlignment="1">
      <alignment horizontal="centerContinuous"/>
    </xf>
    <xf numFmtId="164" fontId="49" fillId="0" borderId="2" xfId="0" applyFont="1" applyBorder="1" applyAlignment="1">
      <alignment horizontal="centerContinuous"/>
    </xf>
    <xf numFmtId="164" fontId="49" fillId="0" borderId="1" xfId="0" applyFont="1" applyBorder="1" applyAlignment="1">
      <alignment horizontal="centerContinuous"/>
    </xf>
    <xf numFmtId="164" fontId="49" fillId="0" borderId="6" xfId="0" applyFont="1" applyBorder="1" applyAlignment="1">
      <alignment horizontal="centerContinuous"/>
    </xf>
    <xf numFmtId="164" fontId="49" fillId="0" borderId="62" xfId="0" applyFont="1" applyBorder="1" applyAlignment="1">
      <alignment horizontal="centerContinuous"/>
    </xf>
    <xf numFmtId="164" fontId="49" fillId="0" borderId="7" xfId="0" applyFont="1" applyBorder="1" applyAlignment="1">
      <alignment horizontal="centerContinuous"/>
    </xf>
    <xf numFmtId="164" fontId="49" fillId="0" borderId="8" xfId="0" applyFont="1" applyBorder="1" applyAlignment="1">
      <alignment horizontal="centerContinuous"/>
    </xf>
    <xf numFmtId="174" fontId="56" fillId="0" borderId="0" xfId="0" applyNumberFormat="1" applyFont="1" applyAlignment="1">
      <alignment horizontal="right"/>
    </xf>
    <xf numFmtId="172" fontId="56" fillId="0" borderId="0" xfId="0" applyNumberFormat="1" applyFont="1" applyAlignment="1">
      <alignment horizontal="center"/>
    </xf>
    <xf numFmtId="171" fontId="50" fillId="0" borderId="20" xfId="0" applyNumberFormat="1" applyFont="1" applyBorder="1" applyAlignment="1">
      <alignment horizontal="center"/>
    </xf>
    <xf numFmtId="171" fontId="49" fillId="0" borderId="7" xfId="0" applyNumberFormat="1" applyFont="1" applyBorder="1" applyAlignment="1">
      <alignment horizontal="centerContinuous"/>
    </xf>
    <xf numFmtId="171" fontId="49" fillId="0" borderId="8" xfId="0" applyNumberFormat="1" applyFont="1" applyBorder="1" applyAlignment="1">
      <alignment horizontal="centerContinuous"/>
    </xf>
    <xf numFmtId="174" fontId="50" fillId="0" borderId="0" xfId="0" applyNumberFormat="1" applyFont="1" applyAlignment="1">
      <alignment horizontal="right"/>
    </xf>
    <xf numFmtId="172" fontId="50" fillId="0" borderId="0" xfId="0" applyNumberFormat="1" applyFont="1" applyAlignment="1">
      <alignment horizontal="center"/>
    </xf>
    <xf numFmtId="171" fontId="50" fillId="0" borderId="0" xfId="0" applyNumberFormat="1" applyFont="1"/>
    <xf numFmtId="174" fontId="50" fillId="0" borderId="0" xfId="0" applyNumberFormat="1" applyFont="1"/>
    <xf numFmtId="174" fontId="56" fillId="0" borderId="0" xfId="0" applyNumberFormat="1" applyFont="1"/>
    <xf numFmtId="171" fontId="50" fillId="0" borderId="0" xfId="0" applyNumberFormat="1" applyFont="1" applyAlignment="1">
      <alignment horizontal="right"/>
    </xf>
    <xf numFmtId="171" fontId="50" fillId="0" borderId="0" xfId="0" applyNumberFormat="1" applyFont="1" applyAlignment="1">
      <alignment horizontal="center"/>
    </xf>
    <xf numFmtId="171" fontId="49" fillId="0" borderId="7" xfId="0" applyNumberFormat="1" applyFont="1" applyBorder="1" applyAlignment="1">
      <alignment horizontal="center"/>
    </xf>
    <xf numFmtId="164" fontId="50" fillId="0" borderId="8" xfId="0" applyFont="1" applyBorder="1"/>
    <xf numFmtId="3" fontId="50" fillId="0" borderId="0" xfId="0" applyNumberFormat="1" applyFont="1" applyAlignment="1">
      <alignment horizontal="right"/>
    </xf>
    <xf numFmtId="174" fontId="50" fillId="0" borderId="0" xfId="0" applyNumberFormat="1" applyFont="1" applyAlignment="1">
      <alignment horizontal="center"/>
    </xf>
    <xf numFmtId="174" fontId="50" fillId="0" borderId="80" xfId="0" applyNumberFormat="1" applyFont="1" applyBorder="1"/>
    <xf numFmtId="174" fontId="50" fillId="0" borderId="20" xfId="0" applyNumberFormat="1" applyFont="1" applyBorder="1" applyAlignment="1">
      <alignment horizontal="center"/>
    </xf>
    <xf numFmtId="174" fontId="50" fillId="0" borderId="97" xfId="0" applyNumberFormat="1" applyFont="1" applyBorder="1" applyAlignment="1">
      <alignment horizontal="right"/>
    </xf>
    <xf numFmtId="174" fontId="50" fillId="0" borderId="85" xfId="0" applyNumberFormat="1" applyFont="1" applyBorder="1" applyAlignment="1">
      <alignment horizontal="center"/>
    </xf>
    <xf numFmtId="174" fontId="50" fillId="0" borderId="53" xfId="0" applyNumberFormat="1" applyFont="1" applyBorder="1"/>
    <xf numFmtId="171" fontId="49" fillId="0" borderId="66" xfId="0" applyNumberFormat="1" applyFont="1" applyBorder="1" applyAlignment="1">
      <alignment horizontal="center"/>
    </xf>
    <xf numFmtId="164" fontId="50" fillId="0" borderId="123" xfId="0" applyFont="1" applyBorder="1"/>
    <xf numFmtId="174" fontId="50" fillId="0" borderId="98" xfId="0" applyNumberFormat="1" applyFont="1" applyBorder="1" applyAlignment="1">
      <alignment horizontal="right"/>
    </xf>
    <xf numFmtId="174" fontId="50" fillId="0" borderId="99" xfId="0" applyNumberFormat="1" applyFont="1" applyBorder="1" applyAlignment="1">
      <alignment horizontal="center"/>
    </xf>
    <xf numFmtId="174" fontId="50" fillId="0" borderId="96" xfId="0" applyNumberFormat="1" applyFont="1" applyBorder="1" applyAlignment="1">
      <alignment horizontal="center"/>
    </xf>
    <xf numFmtId="172" fontId="50" fillId="0" borderId="100" xfId="0" applyNumberFormat="1" applyFont="1" applyBorder="1"/>
    <xf numFmtId="164" fontId="49" fillId="0" borderId="0" xfId="0" applyFont="1" applyProtection="1">
      <protection locked="0" hidden="1"/>
    </xf>
    <xf numFmtId="3" fontId="49" fillId="0" borderId="0" xfId="0" applyNumberFormat="1" applyFont="1" applyProtection="1">
      <protection locked="0" hidden="1"/>
    </xf>
    <xf numFmtId="3" fontId="50" fillId="0" borderId="0" xfId="0" applyNumberFormat="1" applyFont="1" applyProtection="1">
      <protection locked="0" hidden="1"/>
    </xf>
    <xf numFmtId="164" fontId="50" fillId="0" borderId="0" xfId="0" applyFont="1" applyProtection="1">
      <protection locked="0" hidden="1"/>
    </xf>
    <xf numFmtId="3" fontId="49" fillId="0" borderId="0" xfId="0" applyNumberFormat="1" applyFont="1"/>
    <xf numFmtId="164" fontId="49" fillId="11" borderId="56" xfId="0" applyFont="1" applyFill="1" applyBorder="1" applyAlignment="1">
      <alignment horizontal="center" vertical="center"/>
    </xf>
    <xf numFmtId="164" fontId="49" fillId="12" borderId="61" xfId="0" applyFont="1" applyFill="1" applyBorder="1" applyAlignment="1">
      <alignment horizontal="center"/>
    </xf>
    <xf numFmtId="174" fontId="56" fillId="0" borderId="124" xfId="0" applyNumberFormat="1" applyFont="1" applyBorder="1" applyAlignment="1">
      <alignment horizontal="center"/>
    </xf>
    <xf numFmtId="174" fontId="56" fillId="0" borderId="113" xfId="0" applyNumberFormat="1" applyFont="1" applyBorder="1" applyAlignment="1">
      <alignment horizontal="center"/>
    </xf>
    <xf numFmtId="174" fontId="56" fillId="0" borderId="125" xfId="0" applyNumberFormat="1" applyFont="1" applyBorder="1" applyAlignment="1">
      <alignment horizontal="center"/>
    </xf>
    <xf numFmtId="166" fontId="49" fillId="0" borderId="91" xfId="0" applyNumberFormat="1" applyFont="1" applyBorder="1" applyAlignment="1">
      <alignment horizontal="center"/>
    </xf>
    <xf numFmtId="174" fontId="50" fillId="0" borderId="80" xfId="0" applyNumberFormat="1" applyFont="1" applyBorder="1" applyAlignment="1" applyProtection="1">
      <alignment horizontal="center"/>
      <protection locked="0"/>
    </xf>
    <xf numFmtId="174" fontId="50" fillId="0" borderId="0" xfId="0" applyNumberFormat="1" applyFont="1" applyAlignment="1" applyProtection="1">
      <alignment horizontal="center"/>
      <protection locked="0"/>
    </xf>
    <xf numFmtId="174" fontId="50" fillId="0" borderId="20" xfId="0" applyNumberFormat="1" applyFont="1" applyBorder="1" applyAlignment="1" applyProtection="1">
      <alignment horizontal="center"/>
      <protection locked="0"/>
    </xf>
    <xf numFmtId="174" fontId="50" fillId="0" borderId="80" xfId="0" applyNumberFormat="1" applyFont="1" applyBorder="1" applyAlignment="1">
      <alignment horizontal="center"/>
    </xf>
    <xf numFmtId="166" fontId="49" fillId="0" borderId="92" xfId="0" applyNumberFormat="1" applyFont="1" applyBorder="1" applyAlignment="1">
      <alignment horizontal="center"/>
    </xf>
    <xf numFmtId="174" fontId="56" fillId="6" borderId="80" xfId="0" applyNumberFormat="1" applyFont="1" applyFill="1" applyBorder="1" applyAlignment="1">
      <alignment horizontal="center"/>
    </xf>
    <xf numFmtId="174" fontId="50" fillId="0" borderId="8" xfId="0" applyNumberFormat="1" applyFont="1" applyBorder="1" applyAlignment="1" applyProtection="1">
      <alignment horizontal="center"/>
      <protection locked="0"/>
    </xf>
    <xf numFmtId="164" fontId="49" fillId="0" borderId="7" xfId="0" applyFont="1" applyBorder="1" applyAlignment="1">
      <alignment horizontal="center"/>
    </xf>
    <xf numFmtId="164" fontId="50" fillId="0" borderId="8" xfId="0" applyFont="1" applyBorder="1" applyAlignment="1">
      <alignment horizontal="center"/>
    </xf>
    <xf numFmtId="2" fontId="50" fillId="0" borderId="80" xfId="0" applyNumberFormat="1" applyFont="1" applyBorder="1" applyAlignment="1" applyProtection="1">
      <alignment horizontal="center"/>
      <protection locked="0"/>
    </xf>
    <xf numFmtId="2" fontId="50" fillId="0" borderId="0" xfId="0" applyNumberFormat="1" applyFont="1" applyAlignment="1" applyProtection="1">
      <alignment horizontal="center"/>
      <protection locked="0"/>
    </xf>
    <xf numFmtId="2" fontId="50" fillId="0" borderId="20" xfId="0" applyNumberFormat="1" applyFont="1" applyBorder="1" applyAlignment="1" applyProtection="1">
      <alignment horizontal="center"/>
      <protection locked="0"/>
    </xf>
    <xf numFmtId="3" fontId="50" fillId="0" borderId="80" xfId="0" applyNumberFormat="1" applyFont="1" applyBorder="1" applyAlignment="1" applyProtection="1">
      <alignment horizontal="center"/>
      <protection locked="0"/>
    </xf>
    <xf numFmtId="3" fontId="50" fillId="0" borderId="0" xfId="0" applyNumberFormat="1" applyFont="1" applyAlignment="1" applyProtection="1">
      <alignment horizontal="center"/>
      <protection locked="0"/>
    </xf>
    <xf numFmtId="3" fontId="50" fillId="0" borderId="20" xfId="0" applyNumberFormat="1" applyFont="1" applyBorder="1" applyAlignment="1" applyProtection="1">
      <alignment horizontal="center"/>
      <protection locked="0"/>
    </xf>
    <xf numFmtId="3" fontId="50" fillId="0" borderId="0" xfId="0" applyNumberFormat="1" applyFont="1" applyAlignment="1">
      <alignment horizontal="center"/>
    </xf>
    <xf numFmtId="3" fontId="50" fillId="0" borderId="20" xfId="0" applyNumberFormat="1" applyFont="1" applyBorder="1" applyAlignment="1">
      <alignment horizontal="center"/>
    </xf>
    <xf numFmtId="3" fontId="50" fillId="0" borderId="8" xfId="0" applyNumberFormat="1" applyFont="1" applyBorder="1" applyAlignment="1">
      <alignment horizontal="center"/>
    </xf>
    <xf numFmtId="37" fontId="49" fillId="0" borderId="92" xfId="0" applyNumberFormat="1" applyFont="1" applyBorder="1" applyAlignment="1">
      <alignment horizontal="center"/>
    </xf>
    <xf numFmtId="4" fontId="50" fillId="0" borderId="80" xfId="0" applyNumberFormat="1" applyFont="1" applyBorder="1" applyAlignment="1" applyProtection="1">
      <alignment horizontal="center"/>
      <protection locked="0"/>
    </xf>
    <xf numFmtId="4" fontId="50" fillId="0" borderId="0" xfId="0" applyNumberFormat="1" applyFont="1" applyAlignment="1" applyProtection="1">
      <alignment horizontal="center"/>
      <protection locked="0"/>
    </xf>
    <xf numFmtId="4" fontId="50" fillId="0" borderId="20" xfId="0" applyNumberFormat="1" applyFont="1" applyBorder="1" applyAlignment="1" applyProtection="1">
      <alignment horizontal="center"/>
      <protection locked="0"/>
    </xf>
    <xf numFmtId="2" fontId="50" fillId="0" borderId="90" xfId="0" applyNumberFormat="1" applyFont="1" applyBorder="1" applyAlignment="1" applyProtection="1">
      <alignment horizontal="center"/>
      <protection locked="0"/>
    </xf>
    <xf numFmtId="2" fontId="50" fillId="0" borderId="57" xfId="0" applyNumberFormat="1" applyFont="1" applyBorder="1" applyAlignment="1" applyProtection="1">
      <alignment horizontal="center"/>
      <protection locked="0"/>
    </xf>
    <xf numFmtId="4" fontId="50" fillId="0" borderId="90" xfId="0" applyNumberFormat="1" applyFont="1" applyBorder="1" applyAlignment="1" applyProtection="1">
      <alignment horizontal="center"/>
      <protection locked="0"/>
    </xf>
    <xf numFmtId="4" fontId="50" fillId="0" borderId="57" xfId="0" applyNumberFormat="1" applyFont="1" applyBorder="1" applyAlignment="1" applyProtection="1">
      <alignment horizontal="center"/>
      <protection locked="0"/>
    </xf>
    <xf numFmtId="4" fontId="50" fillId="0" borderId="122" xfId="0" applyNumberFormat="1" applyFont="1" applyBorder="1" applyAlignment="1" applyProtection="1">
      <alignment horizontal="center"/>
      <protection locked="0"/>
    </xf>
    <xf numFmtId="166" fontId="49" fillId="0" borderId="93" xfId="0" applyNumberFormat="1" applyFont="1" applyBorder="1" applyAlignment="1">
      <alignment horizontal="center"/>
    </xf>
    <xf numFmtId="172" fontId="50" fillId="0" borderId="0" xfId="0" applyNumberFormat="1" applyFont="1" applyAlignment="1">
      <alignment horizontal="centerContinuous"/>
    </xf>
    <xf numFmtId="39" fontId="49" fillId="0" borderId="0" xfId="0" applyNumberFormat="1" applyFont="1"/>
    <xf numFmtId="164" fontId="54" fillId="0" borderId="0" xfId="0" applyFont="1" applyAlignment="1">
      <alignment horizontal="left"/>
    </xf>
    <xf numFmtId="164" fontId="56" fillId="0" borderId="0" xfId="0" applyFont="1" applyAlignment="1">
      <alignment horizontal="right"/>
    </xf>
    <xf numFmtId="164" fontId="56" fillId="0" borderId="0" xfId="0" applyFont="1"/>
    <xf numFmtId="164" fontId="58" fillId="0" borderId="0" xfId="0" applyFont="1"/>
    <xf numFmtId="165" fontId="45" fillId="0" borderId="0" xfId="0" applyNumberFormat="1" applyFont="1"/>
    <xf numFmtId="167" fontId="45" fillId="0" borderId="0" xfId="0" applyNumberFormat="1" applyFont="1"/>
    <xf numFmtId="167" fontId="45" fillId="0" borderId="0" xfId="0" applyNumberFormat="1" applyFont="1" applyAlignment="1">
      <alignment horizontal="center"/>
    </xf>
    <xf numFmtId="164" fontId="43" fillId="2" borderId="54" xfId="0" applyFont="1" applyFill="1" applyBorder="1"/>
    <xf numFmtId="164" fontId="43" fillId="2" borderId="56" xfId="0" applyFont="1" applyFill="1" applyBorder="1"/>
    <xf numFmtId="164" fontId="43" fillId="2" borderId="55" xfId="0" applyFont="1" applyFill="1" applyBorder="1" applyAlignment="1">
      <alignment horizontal="center"/>
    </xf>
    <xf numFmtId="164" fontId="43" fillId="2" borderId="56" xfId="0" applyFont="1" applyFill="1" applyBorder="1" applyAlignment="1">
      <alignment horizontal="center"/>
    </xf>
    <xf numFmtId="164" fontId="43" fillId="2" borderId="7" xfId="0" applyFont="1" applyFill="1" applyBorder="1"/>
    <xf numFmtId="164" fontId="43" fillId="2" borderId="8" xfId="0" applyFont="1" applyFill="1" applyBorder="1"/>
    <xf numFmtId="164" fontId="43" fillId="2" borderId="0" xfId="0" applyFont="1" applyFill="1" applyAlignment="1">
      <alignment horizontal="center"/>
    </xf>
    <xf numFmtId="164" fontId="43" fillId="2" borderId="8" xfId="0" applyFont="1" applyFill="1" applyBorder="1" applyAlignment="1">
      <alignment horizontal="center"/>
    </xf>
    <xf numFmtId="164" fontId="43" fillId="2" borderId="7" xfId="0" applyFont="1" applyFill="1" applyBorder="1" applyAlignment="1">
      <alignment horizontal="centerContinuous"/>
    </xf>
    <xf numFmtId="164" fontId="43" fillId="2" borderId="8" xfId="0" applyFont="1" applyFill="1" applyBorder="1" applyAlignment="1">
      <alignment horizontal="centerContinuous"/>
    </xf>
    <xf numFmtId="164" fontId="43" fillId="2" borderId="66" xfId="0" applyFont="1" applyFill="1" applyBorder="1" applyAlignment="1">
      <alignment horizontal="center"/>
    </xf>
    <xf numFmtId="164" fontId="43" fillId="2" borderId="57" xfId="0" applyFont="1" applyFill="1" applyBorder="1" applyAlignment="1">
      <alignment horizontal="center"/>
    </xf>
    <xf numFmtId="164" fontId="43" fillId="2" borderId="67" xfId="0" applyFont="1" applyFill="1" applyBorder="1" applyAlignment="1">
      <alignment horizontal="center"/>
    </xf>
    <xf numFmtId="164" fontId="43" fillId="2" borderId="64" xfId="0" applyFont="1" applyFill="1" applyBorder="1" applyAlignment="1">
      <alignment horizontal="centerContinuous"/>
    </xf>
    <xf numFmtId="164" fontId="43" fillId="2" borderId="65" xfId="0" applyFont="1" applyFill="1" applyBorder="1" applyAlignment="1">
      <alignment horizontal="centerContinuous"/>
    </xf>
    <xf numFmtId="164" fontId="43" fillId="2" borderId="76" xfId="0" applyFont="1" applyFill="1" applyBorder="1" applyAlignment="1">
      <alignment horizontal="center"/>
    </xf>
    <xf numFmtId="164" fontId="43" fillId="2" borderId="77" xfId="0" applyFont="1" applyFill="1" applyBorder="1" applyAlignment="1">
      <alignment horizontal="center"/>
    </xf>
    <xf numFmtId="164" fontId="43" fillId="2" borderId="78" xfId="0" applyFont="1" applyFill="1" applyBorder="1" applyAlignment="1">
      <alignment horizontal="center"/>
    </xf>
    <xf numFmtId="164" fontId="43" fillId="2" borderId="79" xfId="0" applyFont="1" applyFill="1" applyBorder="1" applyAlignment="1">
      <alignment horizontal="center"/>
    </xf>
    <xf numFmtId="164" fontId="45" fillId="0" borderId="10" xfId="0" applyFont="1" applyBorder="1" applyAlignment="1">
      <alignment horizontal="left"/>
    </xf>
    <xf numFmtId="164" fontId="43" fillId="0" borderId="12" xfId="0" applyFont="1" applyBorder="1"/>
    <xf numFmtId="11" fontId="59" fillId="0" borderId="15" xfId="0" applyNumberFormat="1" applyFont="1" applyBorder="1" applyAlignment="1">
      <alignment horizontal="center"/>
    </xf>
    <xf numFmtId="11" fontId="59" fillId="0" borderId="16" xfId="0" applyNumberFormat="1" applyFont="1" applyBorder="1" applyAlignment="1">
      <alignment horizontal="center"/>
    </xf>
    <xf numFmtId="171" fontId="45" fillId="0" borderId="9" xfId="0" applyNumberFormat="1" applyFont="1" applyBorder="1" applyAlignment="1">
      <alignment horizontal="center"/>
    </xf>
    <xf numFmtId="171" fontId="45" fillId="0" borderId="24" xfId="0" applyNumberFormat="1" applyFont="1" applyBorder="1" applyAlignment="1">
      <alignment horizontal="center"/>
    </xf>
    <xf numFmtId="171" fontId="45" fillId="0" borderId="17" xfId="0" applyNumberFormat="1" applyFont="1" applyBorder="1" applyAlignment="1">
      <alignment horizontal="center"/>
    </xf>
    <xf numFmtId="172" fontId="43" fillId="0" borderId="16" xfId="0" applyNumberFormat="1" applyFont="1" applyBorder="1" applyAlignment="1">
      <alignment horizontal="center"/>
    </xf>
    <xf numFmtId="164" fontId="45" fillId="0" borderId="9" xfId="0" applyFont="1" applyBorder="1" applyAlignment="1">
      <alignment horizontal="left"/>
    </xf>
    <xf numFmtId="164" fontId="45" fillId="0" borderId="11" xfId="0" applyFont="1" applyBorder="1"/>
    <xf numFmtId="11" fontId="59" fillId="0" borderId="11" xfId="0" applyNumberFormat="1" applyFont="1" applyBorder="1" applyAlignment="1">
      <alignment horizontal="center"/>
    </xf>
    <xf numFmtId="171" fontId="45" fillId="0" borderId="25" xfId="0" applyNumberFormat="1" applyFont="1" applyBorder="1" applyAlignment="1">
      <alignment horizontal="center"/>
    </xf>
    <xf numFmtId="171" fontId="45" fillId="0" borderId="26" xfId="0" applyNumberFormat="1" applyFont="1" applyBorder="1" applyAlignment="1">
      <alignment horizontal="center"/>
    </xf>
    <xf numFmtId="172" fontId="43" fillId="0" borderId="12" xfId="0" applyNumberFormat="1" applyFont="1" applyBorder="1" applyAlignment="1">
      <alignment horizontal="center"/>
    </xf>
    <xf numFmtId="164" fontId="45" fillId="0" borderId="12" xfId="0" applyFont="1" applyBorder="1"/>
    <xf numFmtId="172" fontId="43" fillId="0" borderId="11" xfId="0" applyNumberFormat="1" applyFont="1" applyBorder="1" applyAlignment="1">
      <alignment horizontal="center"/>
    </xf>
    <xf numFmtId="164" fontId="43" fillId="7" borderId="81" xfId="0" applyFont="1" applyFill="1" applyBorder="1" applyAlignment="1">
      <alignment horizontal="center" vertical="center"/>
    </xf>
    <xf numFmtId="172" fontId="43" fillId="7" borderId="81" xfId="0" applyNumberFormat="1" applyFont="1" applyFill="1" applyBorder="1" applyAlignment="1">
      <alignment horizontal="center"/>
    </xf>
    <xf numFmtId="164" fontId="60" fillId="0" borderId="0" xfId="0" applyFont="1" applyAlignment="1">
      <alignment horizontal="center"/>
    </xf>
    <xf numFmtId="164" fontId="45" fillId="0" borderId="0" xfId="0" applyFont="1" applyAlignment="1">
      <alignment horizontal="right"/>
    </xf>
    <xf numFmtId="164" fontId="45" fillId="0" borderId="0" xfId="0" applyFont="1" applyAlignment="1">
      <alignment horizontal="left"/>
    </xf>
    <xf numFmtId="173" fontId="61" fillId="0" borderId="0" xfId="0" applyNumberFormat="1" applyFont="1"/>
    <xf numFmtId="164" fontId="62" fillId="0" borderId="0" xfId="0" applyFont="1"/>
    <xf numFmtId="164" fontId="63" fillId="0" borderId="0" xfId="0" applyFont="1"/>
    <xf numFmtId="164" fontId="63" fillId="0" borderId="0" xfId="0" applyFont="1" applyAlignment="1">
      <alignment horizontal="left"/>
    </xf>
    <xf numFmtId="164" fontId="61" fillId="0" borderId="0" xfId="0" applyFont="1" applyAlignment="1">
      <alignment horizontal="center" wrapText="1"/>
    </xf>
    <xf numFmtId="164" fontId="62" fillId="0" borderId="0" xfId="0" applyFont="1" applyAlignment="1">
      <alignment horizontal="center"/>
    </xf>
    <xf numFmtId="3" fontId="62" fillId="0" borderId="0" xfId="0" applyNumberFormat="1" applyFont="1" applyAlignment="1">
      <alignment horizontal="center"/>
    </xf>
    <xf numFmtId="164" fontId="64" fillId="7" borderId="0" xfId="0" applyFont="1" applyFill="1"/>
    <xf numFmtId="3" fontId="64" fillId="7" borderId="0" xfId="0" applyNumberFormat="1" applyFont="1" applyFill="1" applyAlignment="1">
      <alignment horizontal="center"/>
    </xf>
    <xf numFmtId="164" fontId="64" fillId="7" borderId="0" xfId="0" applyFont="1" applyFill="1" applyAlignment="1">
      <alignment horizontal="center"/>
    </xf>
    <xf numFmtId="1" fontId="62" fillId="0" borderId="0" xfId="0" applyNumberFormat="1" applyFont="1"/>
    <xf numFmtId="164" fontId="65" fillId="0" borderId="0" xfId="0" applyFont="1"/>
    <xf numFmtId="168" fontId="64" fillId="0" borderId="0" xfId="0" applyNumberFormat="1" applyFont="1" applyAlignment="1">
      <alignment horizontal="center"/>
    </xf>
    <xf numFmtId="164" fontId="64" fillId="0" borderId="0" xfId="0" applyFont="1"/>
    <xf numFmtId="174" fontId="64" fillId="0" borderId="0" xfId="0" applyNumberFormat="1" applyFont="1"/>
    <xf numFmtId="2" fontId="64" fillId="0" borderId="0" xfId="0" applyNumberFormat="1" applyFont="1"/>
    <xf numFmtId="173" fontId="43" fillId="0" borderId="0" xfId="0" applyNumberFormat="1" applyFont="1"/>
    <xf numFmtId="173" fontId="45" fillId="0" borderId="0" xfId="0" applyNumberFormat="1" applyFont="1"/>
    <xf numFmtId="2" fontId="45" fillId="0" borderId="0" xfId="0" applyNumberFormat="1" applyFont="1" applyAlignment="1">
      <alignment horizontal="center"/>
    </xf>
    <xf numFmtId="2" fontId="43" fillId="0" borderId="0" xfId="0" applyNumberFormat="1" applyFont="1" applyAlignment="1">
      <alignment horizontal="center"/>
    </xf>
    <xf numFmtId="171" fontId="43" fillId="0" borderId="0" xfId="0" applyNumberFormat="1" applyFont="1"/>
    <xf numFmtId="175" fontId="45" fillId="0" borderId="0" xfId="0" applyNumberFormat="1" applyFont="1"/>
    <xf numFmtId="3" fontId="45" fillId="0" borderId="0" xfId="0" applyNumberFormat="1" applyFont="1"/>
    <xf numFmtId="10" fontId="45" fillId="0" borderId="0" xfId="0" applyNumberFormat="1" applyFont="1"/>
    <xf numFmtId="2" fontId="43" fillId="7" borderId="0" xfId="0" applyNumberFormat="1" applyFont="1" applyFill="1"/>
    <xf numFmtId="164" fontId="43" fillId="7" borderId="0" xfId="0" applyFont="1" applyFill="1"/>
    <xf numFmtId="164" fontId="43" fillId="0" borderId="0" xfId="0" applyFont="1" applyAlignment="1">
      <alignment vertical="center"/>
    </xf>
    <xf numFmtId="164" fontId="45" fillId="0" borderId="0" xfId="0" applyFont="1" applyAlignment="1">
      <alignment vertical="center"/>
    </xf>
    <xf numFmtId="164" fontId="43" fillId="0" borderId="52" xfId="0" applyFont="1" applyBorder="1"/>
    <xf numFmtId="164" fontId="45" fillId="0" borderId="52" xfId="0" applyFont="1" applyBorder="1"/>
    <xf numFmtId="164" fontId="45" fillId="0" borderId="53" xfId="0" applyFont="1" applyBorder="1"/>
    <xf numFmtId="164" fontId="43" fillId="9" borderId="82" xfId="0" applyFont="1" applyFill="1" applyBorder="1" applyAlignment="1">
      <alignment horizontal="center" vertical="center"/>
    </xf>
    <xf numFmtId="164" fontId="45" fillId="0" borderId="82" xfId="0" applyFont="1" applyBorder="1" applyAlignment="1">
      <alignment horizontal="center"/>
    </xf>
    <xf numFmtId="164" fontId="45" fillId="0" borderId="85" xfId="0" applyFont="1" applyBorder="1" applyAlignment="1">
      <alignment horizontal="center"/>
    </xf>
    <xf numFmtId="164" fontId="60" fillId="0" borderId="53" xfId="0" applyFont="1" applyBorder="1"/>
    <xf numFmtId="164" fontId="43" fillId="0" borderId="53" xfId="0" applyFont="1" applyBorder="1" applyAlignment="1">
      <alignment horizontal="center"/>
    </xf>
    <xf numFmtId="164" fontId="68" fillId="0" borderId="0" xfId="0" applyFont="1" applyAlignment="1">
      <alignment horizontal="center"/>
    </xf>
    <xf numFmtId="170" fontId="43" fillId="0" borderId="0" xfId="0" applyNumberFormat="1" applyFont="1" applyAlignment="1">
      <alignment horizontal="center"/>
    </xf>
    <xf numFmtId="164" fontId="45" fillId="0" borderId="82" xfId="0" applyFont="1" applyBorder="1" applyAlignment="1">
      <alignment horizontal="center" vertical="center"/>
    </xf>
    <xf numFmtId="164" fontId="60" fillId="0" borderId="53" xfId="0" applyFont="1" applyBorder="1" applyAlignment="1">
      <alignment horizontal="center"/>
    </xf>
    <xf numFmtId="164" fontId="69" fillId="0" borderId="0" xfId="0" applyFont="1"/>
    <xf numFmtId="164" fontId="43" fillId="0" borderId="86" xfId="0" applyFont="1" applyBorder="1" applyAlignment="1">
      <alignment horizontal="center"/>
    </xf>
    <xf numFmtId="164" fontId="45" fillId="0" borderId="52" xfId="0" applyFont="1" applyBorder="1" applyAlignment="1">
      <alignment horizontal="center"/>
    </xf>
    <xf numFmtId="164" fontId="45" fillId="0" borderId="87" xfId="0" applyFont="1" applyBorder="1" applyAlignment="1">
      <alignment horizontal="center"/>
    </xf>
    <xf numFmtId="164" fontId="70" fillId="0" borderId="0" xfId="0" applyFont="1"/>
    <xf numFmtId="164" fontId="60" fillId="0" borderId="0" xfId="0" applyFont="1"/>
    <xf numFmtId="164" fontId="45" fillId="13" borderId="0" xfId="0" applyFont="1" applyFill="1"/>
    <xf numFmtId="164" fontId="43" fillId="9" borderId="89" xfId="0" applyFont="1" applyFill="1" applyBorder="1" applyAlignment="1">
      <alignment horizontal="center" vertical="center"/>
    </xf>
    <xf numFmtId="164" fontId="45" fillId="13" borderId="0" xfId="0" applyFont="1" applyFill="1" applyAlignment="1">
      <alignment horizontal="left" vertical="center"/>
    </xf>
    <xf numFmtId="3" fontId="43" fillId="0" borderId="0" xfId="0" applyNumberFormat="1" applyFont="1" applyAlignment="1">
      <alignment horizontal="center"/>
    </xf>
    <xf numFmtId="164" fontId="45" fillId="0" borderId="88" xfId="0" applyFont="1" applyBorder="1" applyAlignment="1">
      <alignment horizontal="center"/>
    </xf>
    <xf numFmtId="174" fontId="45" fillId="7" borderId="88" xfId="0" applyNumberFormat="1" applyFont="1" applyFill="1" applyBorder="1" applyAlignment="1">
      <alignment horizontal="center"/>
    </xf>
    <xf numFmtId="174" fontId="45" fillId="14" borderId="88" xfId="0" applyNumberFormat="1" applyFont="1" applyFill="1" applyBorder="1" applyAlignment="1">
      <alignment horizontal="center"/>
    </xf>
    <xf numFmtId="174" fontId="45" fillId="7" borderId="82" xfId="0" applyNumberFormat="1" applyFont="1" applyFill="1" applyBorder="1" applyAlignment="1">
      <alignment horizontal="center"/>
    </xf>
    <xf numFmtId="174" fontId="45" fillId="14" borderId="82" xfId="0" applyNumberFormat="1" applyFont="1" applyFill="1" applyBorder="1" applyAlignment="1">
      <alignment horizontal="center"/>
    </xf>
    <xf numFmtId="174" fontId="43" fillId="7" borderId="0" xfId="0" applyNumberFormat="1" applyFont="1" applyFill="1" applyAlignment="1">
      <alignment horizontal="center"/>
    </xf>
    <xf numFmtId="164" fontId="70" fillId="0" borderId="127" xfId="0" applyFont="1" applyBorder="1" applyAlignment="1">
      <alignment vertical="center"/>
    </xf>
    <xf numFmtId="164" fontId="43" fillId="0" borderId="127" xfId="0" applyFont="1" applyBorder="1" applyAlignment="1">
      <alignment vertical="center"/>
    </xf>
    <xf numFmtId="174" fontId="43" fillId="14" borderId="0" xfId="0" applyNumberFormat="1" applyFont="1" applyFill="1" applyAlignment="1">
      <alignment horizontal="center"/>
    </xf>
    <xf numFmtId="174" fontId="45" fillId="0" borderId="0" xfId="0" applyNumberFormat="1" applyFont="1" applyAlignment="1">
      <alignment horizontal="centerContinuous"/>
    </xf>
    <xf numFmtId="174" fontId="45" fillId="0" borderId="0" xfId="0" applyNumberFormat="1" applyFont="1"/>
    <xf numFmtId="164" fontId="45" fillId="2" borderId="54" xfId="0" applyFont="1" applyFill="1" applyBorder="1"/>
    <xf numFmtId="164" fontId="45" fillId="2" borderId="55" xfId="0" applyFont="1" applyFill="1" applyBorder="1"/>
    <xf numFmtId="164" fontId="45" fillId="2" borderId="0" xfId="0" applyFont="1" applyFill="1"/>
    <xf numFmtId="164" fontId="43" fillId="2" borderId="20" xfId="0" applyFont="1" applyFill="1" applyBorder="1" applyAlignment="1">
      <alignment horizontal="center" vertical="center"/>
    </xf>
    <xf numFmtId="164" fontId="43" fillId="2" borderId="59" xfId="0" applyFont="1" applyFill="1" applyBorder="1" applyAlignment="1">
      <alignment horizontal="center" vertical="center"/>
    </xf>
    <xf numFmtId="164" fontId="43" fillId="2" borderId="58" xfId="0" applyFont="1" applyFill="1" applyBorder="1" applyAlignment="1">
      <alignment horizontal="center" vertical="center"/>
    </xf>
    <xf numFmtId="164" fontId="43" fillId="2" borderId="60" xfId="0" applyFont="1" applyFill="1" applyBorder="1" applyAlignment="1">
      <alignment horizontal="center" vertical="center" wrapText="1"/>
    </xf>
    <xf numFmtId="164" fontId="43" fillId="2" borderId="103" xfId="0" applyFont="1" applyFill="1" applyBorder="1" applyAlignment="1">
      <alignment horizontal="center" vertical="center"/>
    </xf>
    <xf numFmtId="164" fontId="43" fillId="2" borderId="106" xfId="0" applyFont="1" applyFill="1" applyBorder="1" applyAlignment="1">
      <alignment horizontal="center" vertical="center" wrapText="1"/>
    </xf>
    <xf numFmtId="164" fontId="43" fillId="2" borderId="56" xfId="0" applyFont="1" applyFill="1" applyBorder="1" applyAlignment="1">
      <alignment horizontal="center" vertical="center" wrapText="1"/>
    </xf>
    <xf numFmtId="174" fontId="45" fillId="0" borderId="112" xfId="0" applyNumberFormat="1" applyFont="1" applyBorder="1" applyAlignment="1">
      <alignment horizontal="center"/>
    </xf>
    <xf numFmtId="174" fontId="45" fillId="0" borderId="22" xfId="0" applyNumberFormat="1" applyFont="1" applyBorder="1" applyAlignment="1">
      <alignment horizontal="center"/>
    </xf>
    <xf numFmtId="174" fontId="45" fillId="0" borderId="113" xfId="0" applyNumberFormat="1" applyFont="1" applyBorder="1" applyAlignment="1">
      <alignment horizontal="center"/>
    </xf>
    <xf numFmtId="172" fontId="45" fillId="0" borderId="22" xfId="0" applyNumberFormat="1" applyFont="1" applyBorder="1" applyAlignment="1">
      <alignment horizontal="center"/>
    </xf>
    <xf numFmtId="174" fontId="45" fillId="0" borderId="110" xfId="0" applyNumberFormat="1" applyFont="1" applyBorder="1" applyAlignment="1">
      <alignment horizontal="center"/>
    </xf>
    <xf numFmtId="174" fontId="45" fillId="0" borderId="111" xfId="0" applyNumberFormat="1" applyFont="1" applyBorder="1" applyAlignment="1">
      <alignment horizontal="center"/>
    </xf>
    <xf numFmtId="2" fontId="45" fillId="0" borderId="108" xfId="0" applyNumberFormat="1" applyFont="1" applyBorder="1" applyAlignment="1">
      <alignment horizontal="center"/>
    </xf>
    <xf numFmtId="172" fontId="45" fillId="0" borderId="21" xfId="0" applyNumberFormat="1" applyFont="1" applyBorder="1" applyAlignment="1">
      <alignment horizontal="center"/>
    </xf>
    <xf numFmtId="174" fontId="45" fillId="0" borderId="7" xfId="0" applyNumberFormat="1" applyFont="1" applyBorder="1" applyAlignment="1">
      <alignment horizontal="center"/>
    </xf>
    <xf numFmtId="174" fontId="45" fillId="0" borderId="23" xfId="0" applyNumberFormat="1" applyFont="1" applyBorder="1" applyAlignment="1">
      <alignment horizontal="center"/>
    </xf>
    <xf numFmtId="174" fontId="45" fillId="0" borderId="20" xfId="0" applyNumberFormat="1" applyFont="1" applyBorder="1" applyAlignment="1">
      <alignment horizontal="center"/>
    </xf>
    <xf numFmtId="172" fontId="45" fillId="0" borderId="23" xfId="0" applyNumberFormat="1" applyFont="1" applyBorder="1" applyAlignment="1">
      <alignment horizontal="center"/>
    </xf>
    <xf numFmtId="174" fontId="45" fillId="0" borderId="102" xfId="0" applyNumberFormat="1" applyFont="1" applyBorder="1" applyAlignment="1">
      <alignment horizontal="center"/>
    </xf>
    <xf numFmtId="174" fontId="45" fillId="0" borderId="85" xfId="0" applyNumberFormat="1" applyFont="1" applyBorder="1" applyAlignment="1">
      <alignment horizontal="center"/>
    </xf>
    <xf numFmtId="2" fontId="45" fillId="0" borderId="107" xfId="0" applyNumberFormat="1" applyFont="1" applyBorder="1" applyAlignment="1">
      <alignment horizontal="center"/>
    </xf>
    <xf numFmtId="172" fontId="45" fillId="0" borderId="8" xfId="0" applyNumberFormat="1" applyFont="1" applyBorder="1" applyAlignment="1">
      <alignment horizontal="center"/>
    </xf>
    <xf numFmtId="172" fontId="45" fillId="0" borderId="102" xfId="0" applyNumberFormat="1" applyFont="1" applyBorder="1" applyAlignment="1">
      <alignment horizontal="center"/>
    </xf>
    <xf numFmtId="172" fontId="45" fillId="0" borderId="85" xfId="0" applyNumberFormat="1" applyFont="1" applyBorder="1" applyAlignment="1">
      <alignment horizontal="center"/>
    </xf>
    <xf numFmtId="2" fontId="45" fillId="0" borderId="102" xfId="0" applyNumberFormat="1" applyFont="1" applyBorder="1" applyAlignment="1">
      <alignment horizontal="center"/>
    </xf>
    <xf numFmtId="2" fontId="45" fillId="0" borderId="85" xfId="0" applyNumberFormat="1" applyFont="1" applyBorder="1" applyAlignment="1">
      <alignment horizontal="center"/>
    </xf>
    <xf numFmtId="2" fontId="45" fillId="0" borderId="8" xfId="0" applyNumberFormat="1" applyFont="1" applyBorder="1" applyAlignment="1">
      <alignment horizontal="center"/>
    </xf>
    <xf numFmtId="174" fontId="45" fillId="0" borderId="114" xfId="0" applyNumberFormat="1" applyFont="1" applyBorder="1" applyAlignment="1">
      <alignment horizontal="center"/>
    </xf>
    <xf numFmtId="174" fontId="45" fillId="0" borderId="0" xfId="0" applyNumberFormat="1" applyFont="1" applyAlignment="1">
      <alignment horizontal="center"/>
    </xf>
    <xf numFmtId="2" fontId="45" fillId="0" borderId="109" xfId="0" applyNumberFormat="1" applyFont="1" applyBorder="1" applyAlignment="1">
      <alignment horizontal="center"/>
    </xf>
    <xf numFmtId="164" fontId="43" fillId="4" borderId="54" xfId="0" applyFont="1" applyFill="1" applyBorder="1" applyAlignment="1">
      <alignment horizontal="centerContinuous"/>
    </xf>
    <xf numFmtId="164" fontId="43" fillId="4" borderId="56" xfId="0" applyFont="1" applyFill="1" applyBorder="1" applyAlignment="1">
      <alignment horizontal="centerContinuous"/>
    </xf>
    <xf numFmtId="169" fontId="45" fillId="4" borderId="62" xfId="0" applyNumberFormat="1" applyFont="1" applyFill="1" applyBorder="1" applyAlignment="1">
      <alignment horizontal="center"/>
    </xf>
    <xf numFmtId="169" fontId="45" fillId="4" borderId="59" xfId="0" applyNumberFormat="1" applyFont="1" applyFill="1" applyBorder="1" applyAlignment="1">
      <alignment horizontal="center"/>
    </xf>
    <xf numFmtId="169" fontId="45" fillId="4" borderId="63" xfId="0" applyNumberFormat="1" applyFont="1" applyFill="1" applyBorder="1" applyAlignment="1">
      <alignment horizontal="center"/>
    </xf>
    <xf numFmtId="169" fontId="45" fillId="4" borderId="105" xfId="0" applyNumberFormat="1" applyFont="1" applyFill="1" applyBorder="1" applyAlignment="1">
      <alignment horizontal="center"/>
    </xf>
    <xf numFmtId="169" fontId="45" fillId="4" borderId="104" xfId="0" applyNumberFormat="1" applyFont="1" applyFill="1" applyBorder="1" applyAlignment="1">
      <alignment horizontal="center"/>
    </xf>
    <xf numFmtId="169" fontId="45" fillId="4" borderId="103" xfId="0" applyNumberFormat="1" applyFont="1" applyFill="1" applyBorder="1" applyAlignment="1">
      <alignment horizontal="center"/>
    </xf>
    <xf numFmtId="171" fontId="45" fillId="0" borderId="20" xfId="0" applyNumberFormat="1" applyFont="1" applyBorder="1" applyAlignment="1">
      <alignment horizontal="center"/>
    </xf>
    <xf numFmtId="171" fontId="45" fillId="0" borderId="0" xfId="0" applyNumberFormat="1" applyFont="1" applyAlignment="1">
      <alignment horizontal="center"/>
    </xf>
    <xf numFmtId="171" fontId="45" fillId="0" borderId="23" xfId="0" applyNumberFormat="1" applyFont="1" applyBorder="1" applyAlignment="1">
      <alignment horizontal="center"/>
    </xf>
    <xf numFmtId="171" fontId="45" fillId="0" borderId="102" xfId="0" applyNumberFormat="1" applyFont="1" applyBorder="1" applyAlignment="1">
      <alignment horizontal="center"/>
    </xf>
    <xf numFmtId="171" fontId="45" fillId="0" borderId="85" xfId="0" applyNumberFormat="1" applyFont="1" applyBorder="1" applyAlignment="1">
      <alignment horizontal="center"/>
    </xf>
    <xf numFmtId="170" fontId="45" fillId="0" borderId="107" xfId="0" applyNumberFormat="1" applyFont="1" applyBorder="1" applyAlignment="1">
      <alignment horizontal="center"/>
    </xf>
    <xf numFmtId="171" fontId="43" fillId="0" borderId="23" xfId="0" applyNumberFormat="1" applyFont="1" applyBorder="1" applyAlignment="1">
      <alignment horizontal="center"/>
    </xf>
    <xf numFmtId="171" fontId="45" fillId="0" borderId="107" xfId="0" applyNumberFormat="1" applyFont="1" applyBorder="1" applyAlignment="1">
      <alignment horizontal="center"/>
    </xf>
    <xf numFmtId="171" fontId="43" fillId="0" borderId="0" xfId="0" applyNumberFormat="1" applyFont="1" applyAlignment="1">
      <alignment horizontal="center"/>
    </xf>
    <xf numFmtId="164" fontId="43" fillId="4" borderId="64" xfId="0" applyFont="1" applyFill="1" applyBorder="1" applyAlignment="1">
      <alignment horizontal="centerContinuous"/>
    </xf>
    <xf numFmtId="164" fontId="43" fillId="4" borderId="65" xfId="0" applyFont="1" applyFill="1" applyBorder="1" applyAlignment="1">
      <alignment horizontal="centerContinuous"/>
    </xf>
    <xf numFmtId="2" fontId="45" fillId="0" borderId="20" xfId="0" applyNumberFormat="1" applyFont="1" applyBorder="1" applyAlignment="1">
      <alignment horizontal="center"/>
    </xf>
    <xf numFmtId="2" fontId="45" fillId="0" borderId="23" xfId="0" applyNumberFormat="1" applyFont="1" applyBorder="1" applyAlignment="1">
      <alignment horizontal="center"/>
    </xf>
    <xf numFmtId="2" fontId="45" fillId="0" borderId="80" xfId="0" applyNumberFormat="1" applyFont="1" applyBorder="1" applyAlignment="1">
      <alignment horizontal="center"/>
    </xf>
    <xf numFmtId="171" fontId="45" fillId="0" borderId="108" xfId="0" applyNumberFormat="1" applyFont="1" applyBorder="1" applyAlignment="1">
      <alignment horizontal="center"/>
    </xf>
    <xf numFmtId="171" fontId="45" fillId="0" borderId="27" xfId="0" applyNumberFormat="1" applyFont="1" applyBorder="1" applyAlignment="1">
      <alignment horizontal="center"/>
    </xf>
    <xf numFmtId="2" fontId="45" fillId="0" borderId="27" xfId="0" applyNumberFormat="1" applyFont="1" applyBorder="1" applyAlignment="1">
      <alignment horizontal="center"/>
    </xf>
    <xf numFmtId="171" fontId="43" fillId="0" borderId="7" xfId="0" applyNumberFormat="1" applyFont="1" applyBorder="1" applyAlignment="1">
      <alignment horizontal="center"/>
    </xf>
    <xf numFmtId="164" fontId="45" fillId="0" borderId="8" xfId="0" applyFont="1" applyBorder="1"/>
    <xf numFmtId="172" fontId="45" fillId="0" borderId="80" xfId="0" applyNumberFormat="1" applyFont="1" applyBorder="1" applyAlignment="1">
      <alignment horizontal="center"/>
    </xf>
    <xf numFmtId="171" fontId="45" fillId="0" borderId="80" xfId="0" applyNumberFormat="1" applyFont="1" applyBorder="1" applyAlignment="1">
      <alignment horizontal="center"/>
    </xf>
    <xf numFmtId="171" fontId="43" fillId="0" borderId="9" xfId="0" applyNumberFormat="1" applyFont="1" applyBorder="1" applyAlignment="1">
      <alignment horizontal="center"/>
    </xf>
    <xf numFmtId="3" fontId="45" fillId="0" borderId="115" xfId="0" applyNumberFormat="1" applyFont="1" applyBorder="1" applyAlignment="1">
      <alignment horizontal="center"/>
    </xf>
    <xf numFmtId="3" fontId="45" fillId="0" borderId="116" xfId="0" applyNumberFormat="1" applyFont="1" applyBorder="1" applyAlignment="1">
      <alignment horizontal="center"/>
    </xf>
    <xf numFmtId="3" fontId="45" fillId="0" borderId="15" xfId="0" applyNumberFormat="1" applyFont="1" applyBorder="1" applyAlignment="1">
      <alignment horizontal="center"/>
    </xf>
    <xf numFmtId="2" fontId="45" fillId="0" borderId="94" xfId="0" applyNumberFormat="1" applyFont="1" applyBorder="1" applyAlignment="1">
      <alignment horizontal="center"/>
    </xf>
    <xf numFmtId="1" fontId="45" fillId="0" borderId="101" xfId="0" applyNumberFormat="1" applyFont="1" applyBorder="1" applyAlignment="1">
      <alignment horizontal="center"/>
    </xf>
    <xf numFmtId="2" fontId="45" fillId="0" borderId="101" xfId="0" applyNumberFormat="1" applyFont="1" applyBorder="1" applyAlignment="1">
      <alignment horizontal="center"/>
    </xf>
    <xf numFmtId="2" fontId="45" fillId="0" borderId="95" xfId="0" applyNumberFormat="1" applyFont="1" applyBorder="1" applyAlignment="1">
      <alignment horizontal="center"/>
    </xf>
    <xf numFmtId="164" fontId="45" fillId="0" borderId="129" xfId="0" applyFont="1" applyBorder="1" applyAlignment="1">
      <alignment vertical="center"/>
    </xf>
    <xf numFmtId="164" fontId="45" fillId="8" borderId="0" xfId="0" applyFont="1" applyFill="1"/>
    <xf numFmtId="2" fontId="45" fillId="8" borderId="0" xfId="0" applyNumberFormat="1" applyFont="1" applyFill="1"/>
    <xf numFmtId="0" fontId="47" fillId="0" borderId="0" xfId="5" applyFont="1"/>
    <xf numFmtId="0" fontId="46" fillId="0" borderId="0" xfId="5" applyFont="1"/>
    <xf numFmtId="3" fontId="47" fillId="0" borderId="0" xfId="5" applyNumberFormat="1" applyFont="1"/>
    <xf numFmtId="0" fontId="53" fillId="0" borderId="0" xfId="5" applyFont="1" applyAlignment="1">
      <alignment horizontal="left" vertical="center"/>
    </xf>
    <xf numFmtId="2" fontId="47" fillId="0" borderId="0" xfId="5" applyNumberFormat="1" applyFont="1"/>
    <xf numFmtId="0" fontId="46" fillId="16" borderId="133" xfId="5" applyFont="1" applyFill="1" applyBorder="1" applyAlignment="1">
      <alignment horizontal="center" vertical="center"/>
    </xf>
    <xf numFmtId="0" fontId="46" fillId="16" borderId="133" xfId="5" applyFont="1" applyFill="1" applyBorder="1" applyAlignment="1">
      <alignment horizontal="center" vertical="center" wrapText="1"/>
    </xf>
    <xf numFmtId="0" fontId="47" fillId="0" borderId="134" xfId="5" applyFont="1" applyBorder="1" applyAlignment="1">
      <alignment horizontal="center" vertical="center"/>
    </xf>
    <xf numFmtId="171" fontId="47" fillId="0" borderId="134" xfId="5" applyNumberFormat="1" applyFont="1" applyBorder="1" applyAlignment="1">
      <alignment horizontal="center" vertical="center"/>
    </xf>
    <xf numFmtId="2" fontId="47" fillId="0" borderId="134" xfId="5" applyNumberFormat="1" applyFont="1" applyBorder="1" applyAlignment="1">
      <alignment horizontal="center" vertical="center"/>
    </xf>
    <xf numFmtId="0" fontId="47" fillId="0" borderId="82" xfId="5" applyFont="1" applyBorder="1" applyAlignment="1">
      <alignment horizontal="center" vertical="center"/>
    </xf>
    <xf numFmtId="11" fontId="47" fillId="0" borderId="134" xfId="5" applyNumberFormat="1" applyFont="1" applyBorder="1" applyAlignment="1">
      <alignment horizontal="center" vertical="center"/>
    </xf>
    <xf numFmtId="2" fontId="47" fillId="0" borderId="82" xfId="5" applyNumberFormat="1" applyFont="1" applyBorder="1" applyAlignment="1">
      <alignment horizontal="center" vertical="center"/>
    </xf>
    <xf numFmtId="0" fontId="53" fillId="0" borderId="0" xfId="5" applyFont="1"/>
    <xf numFmtId="0" fontId="46" fillId="16" borderId="128" xfId="5" applyFont="1" applyFill="1" applyBorder="1" applyAlignment="1">
      <alignment horizontal="center" vertical="center" wrapText="1"/>
    </xf>
    <xf numFmtId="0" fontId="46" fillId="16" borderId="128" xfId="5" applyFont="1" applyFill="1" applyBorder="1" applyAlignment="1">
      <alignment horizontal="center" vertical="center"/>
    </xf>
    <xf numFmtId="164" fontId="72" fillId="0" borderId="82" xfId="0" applyFont="1" applyBorder="1" applyAlignment="1">
      <alignment horizontal="center" vertical="center"/>
    </xf>
    <xf numFmtId="11" fontId="72" fillId="0" borderId="82" xfId="0" applyNumberFormat="1" applyFont="1" applyBorder="1" applyAlignment="1">
      <alignment horizontal="center" vertical="center"/>
    </xf>
    <xf numFmtId="11" fontId="47" fillId="0" borderId="82" xfId="5" applyNumberFormat="1" applyFont="1" applyBorder="1" applyAlignment="1">
      <alignment horizontal="center" vertical="center"/>
    </xf>
    <xf numFmtId="164" fontId="72" fillId="0" borderId="82" xfId="0" applyFont="1" applyBorder="1" applyAlignment="1">
      <alignment horizontal="center" vertical="center" wrapText="1"/>
    </xf>
    <xf numFmtId="2" fontId="72" fillId="0" borderId="82" xfId="0" applyNumberFormat="1" applyFont="1" applyBorder="1" applyAlignment="1">
      <alignment horizontal="center" vertical="center"/>
    </xf>
    <xf numFmtId="171" fontId="72" fillId="0" borderId="82" xfId="0" applyNumberFormat="1" applyFont="1" applyBorder="1" applyAlignment="1">
      <alignment horizontal="center" vertical="center"/>
    </xf>
    <xf numFmtId="3" fontId="74" fillId="0" borderId="0" xfId="6" applyNumberFormat="1" applyFont="1"/>
    <xf numFmtId="0" fontId="74" fillId="0" borderId="0" xfId="6" applyFont="1" applyAlignment="1">
      <alignment horizontal="left" indent="1"/>
    </xf>
    <xf numFmtId="0" fontId="74" fillId="0" borderId="0" xfId="6" applyFont="1"/>
    <xf numFmtId="2" fontId="74" fillId="0" borderId="0" xfId="6" applyNumberFormat="1" applyFont="1"/>
    <xf numFmtId="178" fontId="74" fillId="0" borderId="0" xfId="6" applyNumberFormat="1" applyFont="1"/>
    <xf numFmtId="4" fontId="74" fillId="0" borderId="0" xfId="6" applyNumberFormat="1" applyFont="1"/>
    <xf numFmtId="0" fontId="76" fillId="0" borderId="0" xfId="6" applyFont="1"/>
    <xf numFmtId="1" fontId="76" fillId="0" borderId="0" xfId="6" applyNumberFormat="1" applyFont="1"/>
    <xf numFmtId="1" fontId="74" fillId="0" borderId="0" xfId="6" applyNumberFormat="1" applyFont="1"/>
    <xf numFmtId="174" fontId="74" fillId="0" borderId="0" xfId="6" applyNumberFormat="1" applyFont="1"/>
    <xf numFmtId="0" fontId="78" fillId="17" borderId="82" xfId="6" applyFont="1" applyFill="1" applyBorder="1" applyAlignment="1">
      <alignment horizontal="center"/>
    </xf>
    <xf numFmtId="0" fontId="74" fillId="0" borderId="82" xfId="6" applyFont="1" applyBorder="1"/>
    <xf numFmtId="0" fontId="74" fillId="0" borderId="82" xfId="6" applyFont="1" applyBorder="1" applyAlignment="1">
      <alignment horizontal="center"/>
    </xf>
    <xf numFmtId="0" fontId="74" fillId="0" borderId="82" xfId="6" quotePrefix="1" applyFont="1" applyBorder="1" applyAlignment="1">
      <alignment horizontal="center"/>
    </xf>
    <xf numFmtId="1" fontId="74" fillId="0" borderId="82" xfId="6" applyNumberFormat="1" applyFont="1" applyBorder="1" applyAlignment="1">
      <alignment horizontal="center"/>
    </xf>
    <xf numFmtId="2" fontId="74" fillId="0" borderId="82" xfId="6" applyNumberFormat="1" applyFont="1" applyBorder="1" applyAlignment="1">
      <alignment horizontal="center"/>
    </xf>
    <xf numFmtId="174" fontId="74" fillId="0" borderId="82" xfId="6" applyNumberFormat="1" applyFont="1" applyBorder="1" applyAlignment="1">
      <alignment horizontal="center"/>
    </xf>
    <xf numFmtId="172" fontId="74" fillId="0" borderId="82" xfId="6" applyNumberFormat="1" applyFont="1" applyBorder="1" applyAlignment="1">
      <alignment horizontal="center"/>
    </xf>
    <xf numFmtId="174" fontId="74" fillId="0" borderId="0" xfId="6" applyNumberFormat="1" applyFont="1" applyAlignment="1">
      <alignment horizontal="center"/>
    </xf>
    <xf numFmtId="2" fontId="74" fillId="0" borderId="0" xfId="6" applyNumberFormat="1" applyFont="1" applyAlignment="1">
      <alignment horizontal="center"/>
    </xf>
    <xf numFmtId="0" fontId="81" fillId="8" borderId="0" xfId="6" applyFont="1" applyFill="1"/>
    <xf numFmtId="0" fontId="74" fillId="8" borderId="0" xfId="6" applyFont="1" applyFill="1"/>
    <xf numFmtId="0" fontId="82" fillId="8" borderId="0" xfId="6" applyFont="1" applyFill="1"/>
    <xf numFmtId="3" fontId="74" fillId="0" borderId="82" xfId="6" applyNumberFormat="1" applyFont="1" applyBorder="1" applyAlignment="1">
      <alignment horizontal="center"/>
    </xf>
    <xf numFmtId="172" fontId="74" fillId="0" borderId="0" xfId="6" applyNumberFormat="1" applyFont="1"/>
    <xf numFmtId="0" fontId="74" fillId="0" borderId="0" xfId="6" applyFont="1" applyAlignment="1">
      <alignment vertical="top" wrapText="1"/>
    </xf>
    <xf numFmtId="0" fontId="81" fillId="0" borderId="0" xfId="6" applyFont="1"/>
    <xf numFmtId="0" fontId="38" fillId="0" borderId="0" xfId="6" applyFont="1"/>
    <xf numFmtId="0" fontId="83" fillId="0" borderId="0" xfId="6" applyFont="1"/>
    <xf numFmtId="0" fontId="84" fillId="0" borderId="0" xfId="6" applyFont="1"/>
    <xf numFmtId="3" fontId="38" fillId="0" borderId="0" xfId="6" applyNumberFormat="1" applyFont="1"/>
    <xf numFmtId="0" fontId="38" fillId="0" borderId="0" xfId="6" applyFont="1" applyAlignment="1">
      <alignment horizontal="left" indent="1"/>
    </xf>
    <xf numFmtId="0" fontId="38" fillId="0" borderId="0" xfId="6" applyFont="1" applyAlignment="1">
      <alignment vertical="top"/>
    </xf>
    <xf numFmtId="0" fontId="38" fillId="0" borderId="0" xfId="6" applyFont="1" applyAlignment="1">
      <alignment horizontal="left" wrapText="1" indent="1"/>
    </xf>
    <xf numFmtId="178" fontId="38" fillId="0" borderId="0" xfId="6" applyNumberFormat="1" applyFont="1"/>
    <xf numFmtId="176" fontId="38" fillId="0" borderId="0" xfId="6" applyNumberFormat="1" applyFont="1"/>
    <xf numFmtId="0" fontId="87" fillId="0" borderId="0" xfId="6" applyFont="1"/>
    <xf numFmtId="179" fontId="38" fillId="0" borderId="82" xfId="6" applyNumberFormat="1" applyFont="1" applyBorder="1"/>
    <xf numFmtId="172" fontId="38" fillId="0" borderId="82" xfId="6" applyNumberFormat="1" applyFont="1" applyBorder="1"/>
    <xf numFmtId="174" fontId="38" fillId="0" borderId="82" xfId="6" applyNumberFormat="1" applyFont="1" applyBorder="1"/>
    <xf numFmtId="2" fontId="38" fillId="0" borderId="82" xfId="6" applyNumberFormat="1" applyFont="1" applyBorder="1"/>
    <xf numFmtId="1" fontId="38" fillId="0" borderId="82" xfId="6" applyNumberFormat="1" applyFont="1" applyBorder="1"/>
    <xf numFmtId="179" fontId="38" fillId="0" borderId="133" xfId="6" applyNumberFormat="1" applyFont="1" applyBorder="1"/>
    <xf numFmtId="172" fontId="38" fillId="0" borderId="133" xfId="6" applyNumberFormat="1" applyFont="1" applyBorder="1"/>
    <xf numFmtId="179" fontId="38" fillId="0" borderId="134" xfId="6" applyNumberFormat="1" applyFont="1" applyBorder="1"/>
    <xf numFmtId="172" fontId="38" fillId="0" borderId="134" xfId="6" applyNumberFormat="1" applyFont="1" applyBorder="1"/>
    <xf numFmtId="1" fontId="38" fillId="0" borderId="134" xfId="6" applyNumberFormat="1" applyFont="1" applyBorder="1"/>
    <xf numFmtId="0" fontId="38" fillId="0" borderId="134" xfId="6" applyFont="1" applyBorder="1" applyAlignment="1">
      <alignment horizontal="left"/>
    </xf>
    <xf numFmtId="174" fontId="38" fillId="0" borderId="134" xfId="6" applyNumberFormat="1" applyFont="1" applyBorder="1"/>
    <xf numFmtId="0" fontId="38" fillId="0" borderId="0" xfId="6" applyFont="1" applyAlignment="1">
      <alignment horizontal="left"/>
    </xf>
    <xf numFmtId="11" fontId="38" fillId="0" borderId="0" xfId="6" applyNumberFormat="1" applyFont="1"/>
    <xf numFmtId="172" fontId="38" fillId="0" borderId="0" xfId="6" applyNumberFormat="1" applyFont="1"/>
    <xf numFmtId="174" fontId="38" fillId="0" borderId="0" xfId="6" applyNumberFormat="1" applyFont="1"/>
    <xf numFmtId="0" fontId="84" fillId="0" borderId="0" xfId="6" applyFont="1" applyAlignment="1">
      <alignment horizontal="left"/>
    </xf>
    <xf numFmtId="0" fontId="38" fillId="0" borderId="0" xfId="6" applyFont="1" applyAlignment="1">
      <alignment vertical="top" wrapText="1"/>
    </xf>
    <xf numFmtId="164" fontId="9" fillId="2" borderId="7" xfId="0" applyFont="1" applyFill="1" applyBorder="1" applyAlignment="1">
      <alignment horizontal="center"/>
    </xf>
    <xf numFmtId="164" fontId="43" fillId="0" borderId="0" xfId="0" applyFont="1" applyAlignment="1">
      <alignment horizontal="center"/>
    </xf>
    <xf numFmtId="164" fontId="45" fillId="0" borderId="0" xfId="0" applyFont="1" applyAlignment="1">
      <alignment horizontal="center"/>
    </xf>
    <xf numFmtId="164" fontId="43" fillId="2" borderId="54" xfId="0" applyFont="1" applyFill="1" applyBorder="1" applyAlignment="1">
      <alignment horizontal="center"/>
    </xf>
    <xf numFmtId="164" fontId="43" fillId="2" borderId="7" xfId="0" applyFont="1" applyFill="1" applyBorder="1" applyAlignment="1">
      <alignment horizontal="center"/>
    </xf>
    <xf numFmtId="164" fontId="43" fillId="0" borderId="7" xfId="0" applyFont="1" applyBorder="1" applyAlignment="1">
      <alignment horizontal="center" vertical="center"/>
    </xf>
    <xf numFmtId="164" fontId="45" fillId="0" borderId="8" xfId="0" applyFont="1" applyBorder="1" applyAlignment="1">
      <alignment horizontal="center" vertical="center"/>
    </xf>
    <xf numFmtId="164" fontId="43" fillId="0" borderId="66" xfId="0" applyFont="1" applyBorder="1" applyAlignment="1">
      <alignment horizontal="center" vertical="center"/>
    </xf>
    <xf numFmtId="164" fontId="45" fillId="0" borderId="67" xfId="0" applyFont="1" applyBorder="1" applyAlignment="1">
      <alignment horizontal="center" vertical="center"/>
    </xf>
    <xf numFmtId="164" fontId="43" fillId="0" borderId="112" xfId="0" applyFont="1" applyBorder="1" applyAlignment="1">
      <alignment horizontal="center" vertical="center"/>
    </xf>
    <xf numFmtId="164" fontId="45" fillId="0" borderId="21" xfId="0" applyFont="1" applyBorder="1" applyAlignment="1">
      <alignment horizontal="center" vertical="center"/>
    </xf>
    <xf numFmtId="164" fontId="43" fillId="2" borderId="55" xfId="0" applyFont="1" applyFill="1" applyBorder="1" applyAlignment="1">
      <alignment horizontal="center" vertical="center"/>
    </xf>
    <xf numFmtId="0" fontId="51" fillId="0" borderId="0" xfId="5" applyFont="1" applyAlignment="1">
      <alignment horizontal="center" vertical="center" wrapText="1"/>
    </xf>
    <xf numFmtId="0" fontId="39" fillId="17" borderId="82" xfId="6" applyFont="1" applyFill="1" applyBorder="1" applyAlignment="1">
      <alignment horizontal="center"/>
    </xf>
    <xf numFmtId="165" fontId="18" fillId="0" borderId="0" xfId="0" applyNumberFormat="1" applyFont="1"/>
    <xf numFmtId="164" fontId="51" fillId="0" borderId="0" xfId="0" applyFont="1" applyAlignment="1">
      <alignment horizontal="center"/>
    </xf>
    <xf numFmtId="164" fontId="52" fillId="0" borderId="0" xfId="0" applyFont="1" applyAlignment="1">
      <alignment horizontal="center"/>
    </xf>
    <xf numFmtId="164" fontId="51" fillId="0" borderId="0" xfId="0" applyFont="1" applyAlignment="1">
      <alignment horizontal="center" vertical="center"/>
    </xf>
    <xf numFmtId="164" fontId="52" fillId="0" borderId="0" xfId="0" applyFont="1" applyAlignment="1">
      <alignment horizontal="center" vertical="center"/>
    </xf>
    <xf numFmtId="164" fontId="43" fillId="0" borderId="63" xfId="0" applyFont="1" applyBorder="1" applyAlignment="1">
      <alignment horizontal="center"/>
    </xf>
    <xf numFmtId="164" fontId="45" fillId="0" borderId="63" xfId="0" applyFont="1" applyBorder="1" applyAlignment="1">
      <alignment horizontal="center"/>
    </xf>
    <xf numFmtId="164" fontId="43" fillId="0" borderId="117" xfId="0" applyFont="1" applyBorder="1" applyAlignment="1">
      <alignment horizontal="center"/>
    </xf>
    <xf numFmtId="164" fontId="45" fillId="0" borderId="118" xfId="0" applyFont="1" applyBorder="1" applyAlignment="1">
      <alignment horizontal="center"/>
    </xf>
    <xf numFmtId="164" fontId="45" fillId="0" borderId="65" xfId="0" applyFont="1" applyBorder="1" applyAlignment="1">
      <alignment horizontal="center"/>
    </xf>
    <xf numFmtId="164" fontId="43" fillId="10" borderId="119" xfId="0" applyFont="1" applyFill="1" applyBorder="1" applyAlignment="1">
      <alignment horizontal="center"/>
    </xf>
    <xf numFmtId="164" fontId="45" fillId="15" borderId="120" xfId="0" applyFont="1" applyFill="1" applyBorder="1" applyAlignment="1">
      <alignment horizontal="center"/>
    </xf>
    <xf numFmtId="164" fontId="45" fillId="15" borderId="121" xfId="0" applyFont="1" applyFill="1" applyBorder="1" applyAlignment="1">
      <alignment horizontal="center"/>
    </xf>
    <xf numFmtId="164" fontId="43" fillId="10" borderId="120" xfId="0" applyFont="1" applyFill="1" applyBorder="1" applyAlignment="1">
      <alignment horizontal="center"/>
    </xf>
    <xf numFmtId="164" fontId="45" fillId="15" borderId="84" xfId="0" applyFont="1" applyFill="1" applyBorder="1" applyAlignment="1">
      <alignment horizontal="center"/>
    </xf>
    <xf numFmtId="164" fontId="9" fillId="2" borderId="7" xfId="0" applyFont="1" applyFill="1" applyBorder="1" applyAlignment="1">
      <alignment horizontal="center"/>
    </xf>
    <xf numFmtId="164" fontId="9" fillId="2" borderId="0" xfId="0" applyFont="1" applyFill="1" applyAlignment="1">
      <alignment horizontal="center"/>
    </xf>
    <xf numFmtId="164" fontId="0" fillId="3" borderId="8" xfId="0" applyFill="1" applyBorder="1" applyAlignment="1">
      <alignment horizontal="center"/>
    </xf>
    <xf numFmtId="164" fontId="9" fillId="2" borderId="66" xfId="0" applyFont="1" applyFill="1" applyBorder="1" applyAlignment="1">
      <alignment horizontal="center"/>
    </xf>
    <xf numFmtId="164" fontId="9" fillId="2" borderId="57" xfId="0" applyFont="1" applyFill="1" applyBorder="1" applyAlignment="1">
      <alignment horizontal="center"/>
    </xf>
    <xf numFmtId="164" fontId="0" fillId="3" borderId="67" xfId="0" applyFill="1" applyBorder="1" applyAlignment="1">
      <alignment horizontal="center"/>
    </xf>
    <xf numFmtId="164" fontId="49" fillId="2" borderId="83" xfId="0" applyFont="1" applyFill="1" applyBorder="1" applyAlignment="1">
      <alignment horizontal="center" vertical="center"/>
    </xf>
    <xf numFmtId="164" fontId="49" fillId="2" borderId="120" xfId="0" applyFont="1" applyFill="1" applyBorder="1" applyAlignment="1">
      <alignment horizontal="center" vertical="center"/>
    </xf>
    <xf numFmtId="164" fontId="49" fillId="2" borderId="84" xfId="0" applyFont="1" applyFill="1" applyBorder="1" applyAlignment="1">
      <alignment horizontal="center" vertical="center"/>
    </xf>
    <xf numFmtId="164" fontId="50" fillId="3" borderId="120" xfId="0" applyFont="1" applyFill="1" applyBorder="1" applyAlignment="1">
      <alignment horizontal="center" vertical="center"/>
    </xf>
    <xf numFmtId="164" fontId="50" fillId="3" borderId="84" xfId="0" applyFont="1" applyFill="1" applyBorder="1" applyAlignment="1">
      <alignment horizontal="center" vertical="center"/>
    </xf>
    <xf numFmtId="164" fontId="43" fillId="2" borderId="7" xfId="0" applyFont="1" applyFill="1" applyBorder="1" applyAlignment="1">
      <alignment horizontal="center"/>
    </xf>
    <xf numFmtId="164" fontId="45" fillId="3" borderId="126" xfId="0" applyFont="1" applyFill="1" applyBorder="1" applyAlignment="1">
      <alignment horizontal="center"/>
    </xf>
    <xf numFmtId="164" fontId="43" fillId="2" borderId="64" xfId="0" applyFont="1" applyFill="1" applyBorder="1" applyAlignment="1">
      <alignment horizontal="center"/>
    </xf>
    <xf numFmtId="164" fontId="45" fillId="3" borderId="118" xfId="0" applyFont="1" applyFill="1" applyBorder="1" applyAlignment="1">
      <alignment horizontal="center"/>
    </xf>
    <xf numFmtId="164" fontId="43" fillId="0" borderId="0" xfId="0" applyFont="1" applyAlignment="1">
      <alignment horizontal="center"/>
    </xf>
    <xf numFmtId="164" fontId="45" fillId="0" borderId="0" xfId="0" applyFont="1" applyAlignment="1">
      <alignment horizontal="center"/>
    </xf>
    <xf numFmtId="164" fontId="43" fillId="2" borderId="54" xfId="0" applyFont="1" applyFill="1" applyBorder="1" applyAlignment="1">
      <alignment horizontal="center"/>
    </xf>
    <xf numFmtId="164" fontId="45" fillId="3" borderId="56" xfId="0" applyFont="1" applyFill="1" applyBorder="1" applyAlignment="1">
      <alignment horizontal="center"/>
    </xf>
    <xf numFmtId="164" fontId="43" fillId="0" borderId="88" xfId="0" applyFont="1" applyBorder="1" applyAlignment="1">
      <alignment horizontal="center" vertical="center"/>
    </xf>
    <xf numFmtId="164" fontId="43" fillId="0" borderId="82" xfId="0" applyFont="1" applyBorder="1" applyAlignment="1">
      <alignment horizontal="center" vertical="center"/>
    </xf>
    <xf numFmtId="164" fontId="43" fillId="9" borderId="130" xfId="0" applyFont="1" applyFill="1" applyBorder="1" applyAlignment="1">
      <alignment horizontal="center" vertical="center"/>
    </xf>
    <xf numFmtId="164" fontId="43" fillId="9" borderId="131" xfId="0" applyFont="1" applyFill="1" applyBorder="1" applyAlignment="1">
      <alignment horizontal="center" vertical="center"/>
    </xf>
    <xf numFmtId="164" fontId="43" fillId="9" borderId="132" xfId="0" applyFont="1" applyFill="1" applyBorder="1" applyAlignment="1">
      <alignment horizontal="center" vertical="center"/>
    </xf>
    <xf numFmtId="164" fontId="43" fillId="9" borderId="128" xfId="0" applyFont="1" applyFill="1" applyBorder="1" applyAlignment="1">
      <alignment horizontal="center" vertical="center"/>
    </xf>
    <xf numFmtId="164" fontId="45" fillId="0" borderId="89" xfId="0" applyFont="1" applyBorder="1" applyAlignment="1">
      <alignment horizontal="center" vertical="center"/>
    </xf>
    <xf numFmtId="164" fontId="70" fillId="0" borderId="0" xfId="0" applyFont="1" applyAlignment="1">
      <alignment horizontal="center"/>
    </xf>
    <xf numFmtId="164" fontId="43" fillId="0" borderId="0" xfId="0" applyFont="1" applyAlignment="1">
      <alignment horizontal="center" vertical="center"/>
    </xf>
    <xf numFmtId="164" fontId="43" fillId="0" borderId="85" xfId="0" applyFont="1" applyBorder="1" applyAlignment="1">
      <alignment horizontal="center" vertical="center"/>
    </xf>
    <xf numFmtId="164" fontId="43" fillId="0" borderId="7" xfId="0" applyFont="1" applyBorder="1" applyAlignment="1">
      <alignment horizontal="center" vertical="center"/>
    </xf>
    <xf numFmtId="164" fontId="45" fillId="0" borderId="8" xfId="0" applyFont="1" applyBorder="1" applyAlignment="1">
      <alignment horizontal="center" vertical="center"/>
    </xf>
    <xf numFmtId="164" fontId="43" fillId="0" borderId="66" xfId="0" applyFont="1" applyBorder="1" applyAlignment="1">
      <alignment horizontal="center" vertical="center"/>
    </xf>
    <xf numFmtId="164" fontId="45" fillId="0" borderId="67" xfId="0" applyFont="1" applyBorder="1" applyAlignment="1">
      <alignment horizontal="center" vertical="center"/>
    </xf>
    <xf numFmtId="164" fontId="43" fillId="2" borderId="54" xfId="0" applyFont="1" applyFill="1" applyBorder="1" applyAlignment="1">
      <alignment horizontal="center" vertical="center"/>
    </xf>
    <xf numFmtId="164" fontId="43" fillId="2" borderId="55" xfId="0" applyFont="1" applyFill="1" applyBorder="1" applyAlignment="1">
      <alignment horizontal="center" vertical="center"/>
    </xf>
    <xf numFmtId="164" fontId="43" fillId="2" borderId="56" xfId="0" applyFont="1" applyFill="1" applyBorder="1" applyAlignment="1">
      <alignment horizontal="center" vertical="center"/>
    </xf>
    <xf numFmtId="164" fontId="43" fillId="2" borderId="66" xfId="0" applyFont="1" applyFill="1" applyBorder="1" applyAlignment="1">
      <alignment horizontal="center" vertical="center"/>
    </xf>
    <xf numFmtId="164" fontId="43" fillId="2" borderId="57" xfId="0" applyFont="1" applyFill="1" applyBorder="1" applyAlignment="1">
      <alignment horizontal="center" vertical="center"/>
    </xf>
    <xf numFmtId="164" fontId="43" fillId="2" borderId="67" xfId="0" applyFont="1" applyFill="1" applyBorder="1" applyAlignment="1">
      <alignment horizontal="center" vertical="center"/>
    </xf>
    <xf numFmtId="164" fontId="43" fillId="2" borderId="41" xfId="0" applyFont="1" applyFill="1" applyBorder="1" applyAlignment="1">
      <alignment horizontal="center"/>
    </xf>
    <xf numFmtId="164" fontId="43" fillId="2" borderId="46" xfId="0" applyFont="1" applyFill="1" applyBorder="1" applyAlignment="1">
      <alignment horizontal="center"/>
    </xf>
    <xf numFmtId="164" fontId="43" fillId="0" borderId="112" xfId="0" applyFont="1" applyBorder="1" applyAlignment="1">
      <alignment horizontal="center" vertical="center"/>
    </xf>
    <xf numFmtId="164" fontId="45" fillId="0" borderId="21" xfId="0" applyFont="1" applyBorder="1" applyAlignment="1">
      <alignment horizontal="center" vertical="center"/>
    </xf>
    <xf numFmtId="164" fontId="39" fillId="0" borderId="0" xfId="0" applyFont="1" applyAlignment="1">
      <alignment horizontal="center" vertical="center" wrapText="1"/>
    </xf>
    <xf numFmtId="164" fontId="39" fillId="0" borderId="139" xfId="0" applyFont="1" applyBorder="1" applyAlignment="1">
      <alignment horizontal="center" vertical="center" wrapText="1"/>
    </xf>
    <xf numFmtId="164" fontId="39" fillId="0" borderId="140" xfId="0" applyFont="1" applyBorder="1" applyAlignment="1">
      <alignment horizontal="center" vertical="center" wrapText="1"/>
    </xf>
    <xf numFmtId="164" fontId="39" fillId="0" borderId="141" xfId="0" applyFont="1" applyBorder="1" applyAlignment="1">
      <alignment horizontal="center" vertical="center"/>
    </xf>
    <xf numFmtId="164" fontId="39" fillId="0" borderId="142" xfId="0" applyFont="1" applyBorder="1" applyAlignment="1">
      <alignment horizontal="center" vertical="center"/>
    </xf>
    <xf numFmtId="164" fontId="39" fillId="0" borderId="143" xfId="0" applyFont="1" applyBorder="1" applyAlignment="1">
      <alignment horizontal="center" wrapText="1"/>
    </xf>
    <xf numFmtId="164" fontId="39" fillId="0" borderId="144" xfId="0" applyFont="1" applyBorder="1" applyAlignment="1">
      <alignment horizontal="center"/>
    </xf>
    <xf numFmtId="0" fontId="24" fillId="0" borderId="0" xfId="5" applyFont="1" applyAlignment="1">
      <alignment horizontal="center" vertical="center"/>
    </xf>
    <xf numFmtId="0" fontId="51" fillId="0" borderId="0" xfId="5" applyFont="1" applyAlignment="1">
      <alignment horizontal="center" vertical="center" wrapText="1"/>
    </xf>
    <xf numFmtId="0" fontId="47" fillId="0" borderId="0" xfId="5" applyFont="1" applyAlignment="1">
      <alignment horizontal="center" vertical="center" wrapText="1"/>
    </xf>
    <xf numFmtId="0" fontId="38" fillId="0" borderId="130" xfId="6" applyFont="1" applyBorder="1"/>
    <xf numFmtId="0" fontId="38" fillId="0" borderId="132" xfId="6" applyFont="1" applyBorder="1"/>
    <xf numFmtId="0" fontId="38" fillId="0" borderId="135" xfId="6" applyFont="1" applyBorder="1"/>
    <xf numFmtId="0" fontId="38" fillId="0" borderId="136" xfId="6" applyFont="1" applyBorder="1"/>
    <xf numFmtId="0" fontId="38" fillId="0" borderId="137" xfId="6" applyFont="1" applyBorder="1" applyAlignment="1">
      <alignment horizontal="left"/>
    </xf>
    <xf numFmtId="0" fontId="38" fillId="0" borderId="138" xfId="6" applyFont="1" applyBorder="1" applyAlignment="1">
      <alignment horizontal="left"/>
    </xf>
    <xf numFmtId="0" fontId="38" fillId="0" borderId="82" xfId="6" applyFont="1" applyBorder="1"/>
    <xf numFmtId="0" fontId="39" fillId="17" borderId="82" xfId="6" applyFont="1" applyFill="1" applyBorder="1" applyAlignment="1">
      <alignment horizontal="center"/>
    </xf>
  </cellXfs>
  <cellStyles count="7">
    <cellStyle name="Comma0 - Style4" xfId="1" xr:uid="{00000000-0005-0000-0000-000000000000}"/>
    <cellStyle name="Date - Style3" xfId="2" xr:uid="{00000000-0005-0000-0000-000001000000}"/>
    <cellStyle name="Fixed2 - Style2" xfId="3" xr:uid="{00000000-0005-0000-0000-000002000000}"/>
    <cellStyle name="Normal" xfId="0" builtinId="0"/>
    <cellStyle name="Normal 2" xfId="5" xr:uid="{FF18C1FD-C5AE-4217-BE29-77224738507D}"/>
    <cellStyle name="Normal 3" xfId="6" xr:uid="{17E16C30-E6C7-48DF-95D0-C4001703A9F9}"/>
    <cellStyle name="Percen - Style1" xfId="4" xr:uid="{00000000-0005-0000-0000-000004000000}"/>
  </cellStyles>
  <dxfs count="1">
    <dxf>
      <font>
        <b/>
        <i val="0"/>
        <strike val="0"/>
        <condense val="0"/>
        <extend val="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736280</xdr:colOff>
      <xdr:row>9</xdr:row>
      <xdr:rowOff>327341</xdr:rowOff>
    </xdr:from>
    <xdr:to>
      <xdr:col>17</xdr:col>
      <xdr:colOff>510</xdr:colOff>
      <xdr:row>31</xdr:row>
      <xdr:rowOff>516892</xdr:rowOff>
    </xdr:to>
    <xdr:pic>
      <xdr:nvPicPr>
        <xdr:cNvPr id="3" name="Picture 2" descr="JDFP-06WA Fire Pump Driver Emission Data.">
          <a:extLst>
            <a:ext uri="{FF2B5EF4-FFF2-40B4-BE49-F238E27FC236}">
              <a16:creationId xmlns:a16="http://schemas.microsoft.com/office/drawing/2014/main" id="{1D47C041-192B-E5BD-9F0B-BC278A8BBA03}"/>
            </a:ext>
          </a:extLst>
        </xdr:cNvPr>
        <xdr:cNvPicPr>
          <a:picLocks noChangeAspect="1"/>
        </xdr:cNvPicPr>
      </xdr:nvPicPr>
      <xdr:blipFill>
        <a:blip xmlns:r="http://schemas.openxmlformats.org/officeDocument/2006/relationships" r:embed="rId1"/>
        <a:stretch>
          <a:fillRect/>
        </a:stretch>
      </xdr:blipFill>
      <xdr:spPr>
        <a:xfrm>
          <a:off x="7999093" y="2287904"/>
          <a:ext cx="5966020" cy="5328288"/>
        </a:xfrm>
        <a:prstGeom prst="rect">
          <a:avLst/>
        </a:prstGeom>
      </xdr:spPr>
    </xdr:pic>
    <xdr:clientData/>
  </xdr:twoCellAnchor>
  <xdr:twoCellAnchor editAs="oneCell">
    <xdr:from>
      <xdr:col>7</xdr:col>
      <xdr:colOff>552096</xdr:colOff>
      <xdr:row>32</xdr:row>
      <xdr:rowOff>107315</xdr:rowOff>
    </xdr:from>
    <xdr:to>
      <xdr:col>13</xdr:col>
      <xdr:colOff>436570</xdr:colOff>
      <xdr:row>60</xdr:row>
      <xdr:rowOff>106241</xdr:rowOff>
    </xdr:to>
    <xdr:pic>
      <xdr:nvPicPr>
        <xdr:cNvPr id="4" name="Picture 3" descr="Speciated Organic Compound Emission Factors for Uncontrolled Diesel Engines.">
          <a:extLst>
            <a:ext uri="{FF2B5EF4-FFF2-40B4-BE49-F238E27FC236}">
              <a16:creationId xmlns:a16="http://schemas.microsoft.com/office/drawing/2014/main" id="{96B58FDE-D689-3EBC-2819-A6267314C881}"/>
            </a:ext>
          </a:extLst>
        </xdr:cNvPr>
        <xdr:cNvPicPr>
          <a:picLocks noChangeAspect="1"/>
        </xdr:cNvPicPr>
      </xdr:nvPicPr>
      <xdr:blipFill>
        <a:blip xmlns:r="http://schemas.openxmlformats.org/officeDocument/2006/relationships" r:embed="rId2"/>
        <a:stretch>
          <a:fillRect/>
        </a:stretch>
      </xdr:blipFill>
      <xdr:spPr>
        <a:xfrm>
          <a:off x="7068784" y="7774940"/>
          <a:ext cx="4368844" cy="4963674"/>
        </a:xfrm>
        <a:prstGeom prst="rect">
          <a:avLst/>
        </a:prstGeom>
      </xdr:spPr>
    </xdr:pic>
    <xdr:clientData/>
  </xdr:twoCellAnchor>
  <xdr:twoCellAnchor editAs="oneCell">
    <xdr:from>
      <xdr:col>8</xdr:col>
      <xdr:colOff>20002</xdr:colOff>
      <xdr:row>61</xdr:row>
      <xdr:rowOff>148907</xdr:rowOff>
    </xdr:from>
    <xdr:to>
      <xdr:col>12</xdr:col>
      <xdr:colOff>246062</xdr:colOff>
      <xdr:row>91</xdr:row>
      <xdr:rowOff>9704</xdr:rowOff>
    </xdr:to>
    <xdr:pic>
      <xdr:nvPicPr>
        <xdr:cNvPr id="5" name="Picture 4" descr="Fuel types.">
          <a:extLst>
            <a:ext uri="{FF2B5EF4-FFF2-40B4-BE49-F238E27FC236}">
              <a16:creationId xmlns:a16="http://schemas.microsoft.com/office/drawing/2014/main" id="{1E2B7CEB-1B79-48B6-AD5C-71AE0D6F89FB}"/>
            </a:ext>
          </a:extLst>
        </xdr:cNvPr>
        <xdr:cNvPicPr>
          <a:picLocks noChangeAspect="1"/>
        </xdr:cNvPicPr>
      </xdr:nvPicPr>
      <xdr:blipFill>
        <a:blip xmlns:r="http://schemas.openxmlformats.org/officeDocument/2006/relationships" r:embed="rId3"/>
        <a:stretch>
          <a:fillRect/>
        </a:stretch>
      </xdr:blipFill>
      <xdr:spPr>
        <a:xfrm>
          <a:off x="7282815" y="12952095"/>
          <a:ext cx="3210560" cy="5093197"/>
        </a:xfrm>
        <a:prstGeom prst="rect">
          <a:avLst/>
        </a:prstGeom>
      </xdr:spPr>
    </xdr:pic>
    <xdr:clientData/>
  </xdr:twoCellAnchor>
  <xdr:twoCellAnchor editAs="oneCell">
    <xdr:from>
      <xdr:col>12</xdr:col>
      <xdr:colOff>365124</xdr:colOff>
      <xdr:row>62</xdr:row>
      <xdr:rowOff>85408</xdr:rowOff>
    </xdr:from>
    <xdr:to>
      <xdr:col>17</xdr:col>
      <xdr:colOff>476159</xdr:colOff>
      <xdr:row>74</xdr:row>
      <xdr:rowOff>133330</xdr:rowOff>
    </xdr:to>
    <xdr:pic>
      <xdr:nvPicPr>
        <xdr:cNvPr id="6" name="Picture 5" descr="Fuel types.">
          <a:extLst>
            <a:ext uri="{FF2B5EF4-FFF2-40B4-BE49-F238E27FC236}">
              <a16:creationId xmlns:a16="http://schemas.microsoft.com/office/drawing/2014/main" id="{F9FBAD10-73E5-4082-98AA-451A0D47477C}"/>
            </a:ext>
          </a:extLst>
        </xdr:cNvPr>
        <xdr:cNvPicPr>
          <a:picLocks noChangeAspect="1"/>
        </xdr:cNvPicPr>
      </xdr:nvPicPr>
      <xdr:blipFill>
        <a:blip xmlns:r="http://schemas.openxmlformats.org/officeDocument/2006/relationships" r:embed="rId4"/>
        <a:stretch>
          <a:fillRect/>
        </a:stretch>
      </xdr:blipFill>
      <xdr:spPr>
        <a:xfrm>
          <a:off x="10612437" y="13063221"/>
          <a:ext cx="3841660" cy="21510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vetonfp\Projects\Utilities\LS%20Power\Springdale\14897123%20Springdale%20Title%20V%20Renewal\SHRPT_2014%20Renewal%20Files\SPRING-TVOP%20Renewal%202014%20-%20MAX%20PTE%20Calc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E INPUTS"/>
      <sheetName val="Typ"/>
      <sheetName val="Typ_2"/>
      <sheetName val="HAPs Factors"/>
      <sheetName val="HAPs"/>
      <sheetName val="NH3 tank"/>
      <sheetName val="Cooling Tower"/>
      <sheetName val="SU-SD"/>
      <sheetName val="PTE Summary"/>
    </sheetNames>
    <sheetDataSet>
      <sheetData sheetId="0"/>
      <sheetData sheetId="1"/>
      <sheetData sheetId="2">
        <row r="30">
          <cell r="C30">
            <v>97.974999999999994</v>
          </cell>
        </row>
        <row r="37">
          <cell r="I37">
            <v>18.343439999999998</v>
          </cell>
          <cell r="L37">
            <v>18.343439999999998</v>
          </cell>
        </row>
        <row r="38">
          <cell r="I38">
            <v>1.834344</v>
          </cell>
          <cell r="L38">
            <v>1.834344</v>
          </cell>
        </row>
        <row r="39">
          <cell r="I39">
            <v>1079442.24</v>
          </cell>
          <cell r="L39">
            <v>1079442.24</v>
          </cell>
        </row>
        <row r="42">
          <cell r="I42">
            <v>3.0003000000000002</v>
          </cell>
          <cell r="L42">
            <v>3.0003000000000002</v>
          </cell>
        </row>
      </sheetData>
      <sheetData sheetId="3"/>
      <sheetData sheetId="4">
        <row r="11">
          <cell r="E11">
            <v>4.0604470000000001E-4</v>
          </cell>
        </row>
      </sheetData>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J189"/>
  <sheetViews>
    <sheetView showGridLines="0" view="pageBreakPreview" zoomScale="106" zoomScaleNormal="100" zoomScaleSheetLayoutView="106" workbookViewId="0">
      <selection activeCell="A4" sqref="A4:E4"/>
    </sheetView>
  </sheetViews>
  <sheetFormatPr defaultColWidth="8.81640625" defaultRowHeight="15.6" x14ac:dyDescent="0.3"/>
  <cols>
    <col min="1" max="1" width="11.6328125" customWidth="1"/>
    <col min="2" max="2" width="29.6328125" bestFit="1" customWidth="1"/>
    <col min="3" max="3" width="13" style="45" customWidth="1"/>
    <col min="4" max="4" width="14" customWidth="1"/>
    <col min="5" max="5" width="35.81640625" bestFit="1" customWidth="1"/>
    <col min="6" max="6" width="13.08984375" customWidth="1"/>
    <col min="7" max="8" width="8.81640625" customWidth="1"/>
  </cols>
  <sheetData>
    <row r="1" spans="1:10" ht="24.9" customHeight="1" x14ac:dyDescent="0.35">
      <c r="A1" s="5" t="s">
        <v>0</v>
      </c>
      <c r="B1" s="6"/>
      <c r="C1" s="7"/>
      <c r="D1" s="6"/>
      <c r="E1" s="6"/>
    </row>
    <row r="2" spans="1:10" ht="18" customHeight="1" x14ac:dyDescent="0.35">
      <c r="A2" s="5" t="s">
        <v>1</v>
      </c>
      <c r="B2" s="6"/>
      <c r="C2" s="7"/>
      <c r="D2" s="6"/>
      <c r="E2" s="8"/>
    </row>
    <row r="3" spans="1:10" ht="17.25" customHeight="1" x14ac:dyDescent="0.35">
      <c r="A3" s="5" t="s">
        <v>2</v>
      </c>
      <c r="B3" s="6"/>
      <c r="C3" s="7"/>
      <c r="D3" s="6"/>
      <c r="E3" s="6"/>
    </row>
    <row r="4" spans="1:10" ht="17.25" customHeight="1" x14ac:dyDescent="0.35">
      <c r="A4" s="149" t="s">
        <v>3</v>
      </c>
      <c r="B4" s="3"/>
      <c r="C4" s="3"/>
      <c r="D4" s="3"/>
      <c r="E4" s="3"/>
    </row>
    <row r="5" spans="1:10" hidden="1" x14ac:dyDescent="0.3">
      <c r="C5" s="2"/>
    </row>
    <row r="6" spans="1:10" ht="19.8" hidden="1" x14ac:dyDescent="0.35">
      <c r="A6" s="39" t="s">
        <v>4</v>
      </c>
      <c r="C6" s="2"/>
    </row>
    <row r="7" spans="1:10" ht="2.25" customHeight="1" x14ac:dyDescent="0.3">
      <c r="A7" s="9"/>
      <c r="B7" s="9"/>
      <c r="C7" s="9"/>
      <c r="D7" s="9"/>
      <c r="E7" s="9"/>
    </row>
    <row r="8" spans="1:10" ht="9.75" customHeight="1" x14ac:dyDescent="0.3">
      <c r="A8" s="9"/>
      <c r="B8" s="9"/>
      <c r="C8" s="9"/>
      <c r="D8" s="9"/>
      <c r="E8" s="9"/>
    </row>
    <row r="9" spans="1:10" x14ac:dyDescent="0.3">
      <c r="A9" s="10" t="s">
        <v>5</v>
      </c>
      <c r="B9" s="10" t="s">
        <v>6</v>
      </c>
      <c r="C9" s="11" t="s">
        <v>7</v>
      </c>
      <c r="E9" s="12" t="s">
        <v>8</v>
      </c>
    </row>
    <row r="10" spans="1:10" x14ac:dyDescent="0.3">
      <c r="A10" s="13"/>
      <c r="B10" s="9"/>
      <c r="C10" s="9"/>
      <c r="D10" s="9"/>
      <c r="E10" s="14"/>
    </row>
    <row r="11" spans="1:10" x14ac:dyDescent="0.3">
      <c r="A11" s="15" t="s">
        <v>9</v>
      </c>
      <c r="B11" s="1" t="s">
        <v>10</v>
      </c>
      <c r="C11" s="82">
        <f>(C12/C101)*1000</f>
        <v>1807253.5885167464</v>
      </c>
      <c r="D11" s="41" t="s">
        <v>11</v>
      </c>
      <c r="E11" s="123" t="s">
        <v>12</v>
      </c>
    </row>
    <row r="12" spans="1:10" x14ac:dyDescent="0.3">
      <c r="A12" s="15"/>
      <c r="B12" s="1" t="s">
        <v>13</v>
      </c>
      <c r="C12" s="82">
        <v>1888580</v>
      </c>
      <c r="D12" s="41" t="s">
        <v>14</v>
      </c>
      <c r="E12" s="123" t="s">
        <v>15</v>
      </c>
    </row>
    <row r="13" spans="1:10" x14ac:dyDescent="0.3">
      <c r="A13" s="15"/>
      <c r="B13" s="1" t="s">
        <v>16</v>
      </c>
      <c r="C13" s="82">
        <v>4450</v>
      </c>
      <c r="D13" s="41" t="s">
        <v>17</v>
      </c>
      <c r="E13" s="123" t="s">
        <v>18</v>
      </c>
    </row>
    <row r="14" spans="1:10" x14ac:dyDescent="0.3">
      <c r="A14" s="18"/>
      <c r="B14" s="1" t="s">
        <v>19</v>
      </c>
      <c r="C14" s="86">
        <v>41</v>
      </c>
      <c r="D14" s="1" t="s">
        <v>20</v>
      </c>
      <c r="E14" s="123" t="s">
        <v>21</v>
      </c>
      <c r="I14" s="42"/>
      <c r="J14" s="42"/>
    </row>
    <row r="15" spans="1:10" x14ac:dyDescent="0.3">
      <c r="A15" s="18"/>
      <c r="B15" s="1" t="s">
        <v>22</v>
      </c>
      <c r="C15" s="86">
        <f>(C14*C13)/2000</f>
        <v>91.224999999999994</v>
      </c>
      <c r="D15" s="41" t="s">
        <v>23</v>
      </c>
      <c r="E15" s="123" t="s">
        <v>24</v>
      </c>
      <c r="I15" s="42"/>
    </row>
    <row r="16" spans="1:10" ht="18" x14ac:dyDescent="0.4">
      <c r="A16" s="18"/>
      <c r="B16" s="1" t="s">
        <v>25</v>
      </c>
      <c r="C16" s="86">
        <v>0.3</v>
      </c>
      <c r="D16" s="1" t="s">
        <v>20</v>
      </c>
      <c r="E16" s="123" t="s">
        <v>21</v>
      </c>
      <c r="I16" s="42"/>
    </row>
    <row r="17" spans="1:9" ht="18" x14ac:dyDescent="0.4">
      <c r="A17" s="18"/>
      <c r="B17" s="1" t="s">
        <v>26</v>
      </c>
      <c r="C17" s="86">
        <f>(C16*C13)/2000</f>
        <v>0.66749999999999998</v>
      </c>
      <c r="D17" s="41" t="s">
        <v>23</v>
      </c>
      <c r="E17" s="123" t="s">
        <v>24</v>
      </c>
      <c r="I17" s="42"/>
    </row>
    <row r="18" spans="1:9" ht="18" x14ac:dyDescent="0.4">
      <c r="A18" s="18"/>
      <c r="B18" s="1" t="s">
        <v>27</v>
      </c>
      <c r="C18" s="86">
        <v>110</v>
      </c>
      <c r="D18" s="1" t="s">
        <v>28</v>
      </c>
      <c r="E18" s="123" t="s">
        <v>29</v>
      </c>
      <c r="I18" s="42"/>
    </row>
    <row r="19" spans="1:9" ht="18" x14ac:dyDescent="0.4">
      <c r="A19" s="18"/>
      <c r="B19" s="1" t="s">
        <v>30</v>
      </c>
      <c r="C19" s="93">
        <f>(C12*C18)/2000</f>
        <v>103871.9</v>
      </c>
      <c r="D19" s="41" t="s">
        <v>23</v>
      </c>
      <c r="E19" s="123" t="s">
        <v>31</v>
      </c>
      <c r="I19" s="42"/>
    </row>
    <row r="20" spans="1:9" ht="18" x14ac:dyDescent="0.4">
      <c r="A20" s="18"/>
      <c r="B20" s="1" t="s">
        <v>32</v>
      </c>
      <c r="C20" s="128">
        <v>6.6</v>
      </c>
      <c r="D20" s="1" t="s">
        <v>20</v>
      </c>
      <c r="E20" s="123" t="s">
        <v>21</v>
      </c>
      <c r="I20" s="42"/>
    </row>
    <row r="21" spans="1:9" ht="18" x14ac:dyDescent="0.4">
      <c r="A21" s="18"/>
      <c r="B21" s="1" t="s">
        <v>33</v>
      </c>
      <c r="C21" s="128">
        <f>(C20*C13)/2000</f>
        <v>14.685</v>
      </c>
      <c r="D21" s="41" t="s">
        <v>23</v>
      </c>
      <c r="E21" s="123" t="s">
        <v>24</v>
      </c>
      <c r="I21" s="42"/>
    </row>
    <row r="22" spans="1:9" x14ac:dyDescent="0.3">
      <c r="A22" s="18"/>
      <c r="B22" s="1" t="s">
        <v>34</v>
      </c>
      <c r="C22" s="130">
        <v>4.7000000000000002E-3</v>
      </c>
      <c r="D22" s="1" t="s">
        <v>28</v>
      </c>
      <c r="E22" s="123" t="s">
        <v>29</v>
      </c>
      <c r="I22" s="42"/>
    </row>
    <row r="23" spans="1:9" x14ac:dyDescent="0.3">
      <c r="A23" s="18"/>
      <c r="B23" s="1" t="s">
        <v>35</v>
      </c>
      <c r="C23" s="128">
        <f>(C22*C12)/2000</f>
        <v>4.4381630000000003</v>
      </c>
      <c r="D23" s="41" t="s">
        <v>23</v>
      </c>
      <c r="E23" s="123" t="s">
        <v>31</v>
      </c>
      <c r="I23" s="42"/>
    </row>
    <row r="24" spans="1:9" x14ac:dyDescent="0.3">
      <c r="A24" s="18"/>
      <c r="B24" s="1" t="s">
        <v>36</v>
      </c>
      <c r="C24" s="128">
        <v>5</v>
      </c>
      <c r="D24" s="1" t="s">
        <v>20</v>
      </c>
      <c r="E24" s="123" t="s">
        <v>21</v>
      </c>
      <c r="I24" s="42"/>
    </row>
    <row r="25" spans="1:9" x14ac:dyDescent="0.3">
      <c r="A25" s="18"/>
      <c r="B25" s="1" t="s">
        <v>37</v>
      </c>
      <c r="C25" s="128">
        <f>(C24*C13)/2000</f>
        <v>11.125</v>
      </c>
      <c r="D25" s="1" t="s">
        <v>23</v>
      </c>
      <c r="E25" s="123" t="s">
        <v>24</v>
      </c>
      <c r="I25" s="42"/>
    </row>
    <row r="26" spans="1:9" x14ac:dyDescent="0.3">
      <c r="A26" s="18"/>
      <c r="B26" s="1" t="s">
        <v>38</v>
      </c>
      <c r="C26" s="128">
        <v>57</v>
      </c>
      <c r="D26" s="1" t="s">
        <v>20</v>
      </c>
      <c r="E26" s="123" t="s">
        <v>21</v>
      </c>
      <c r="I26" s="42"/>
    </row>
    <row r="27" spans="1:9" x14ac:dyDescent="0.3">
      <c r="A27" s="18"/>
      <c r="B27" s="1" t="s">
        <v>39</v>
      </c>
      <c r="C27" s="128">
        <f>(C26*C13)/2000</f>
        <v>126.825</v>
      </c>
      <c r="D27" s="41" t="s">
        <v>23</v>
      </c>
      <c r="E27" s="123" t="s">
        <v>24</v>
      </c>
      <c r="I27" s="42"/>
    </row>
    <row r="28" spans="1:9" x14ac:dyDescent="0.3">
      <c r="A28" s="18"/>
      <c r="B28" s="41" t="s">
        <v>40</v>
      </c>
      <c r="C28" s="128">
        <v>1.4</v>
      </c>
      <c r="D28" s="1" t="s">
        <v>20</v>
      </c>
      <c r="E28" s="123" t="s">
        <v>21</v>
      </c>
      <c r="I28" s="42"/>
    </row>
    <row r="29" spans="1:9" x14ac:dyDescent="0.3">
      <c r="A29" s="18"/>
      <c r="B29" s="1" t="s">
        <v>41</v>
      </c>
      <c r="C29" s="128">
        <f>(C28*C13)/2000</f>
        <v>3.1150000000000002</v>
      </c>
      <c r="D29" s="1" t="s">
        <v>23</v>
      </c>
      <c r="E29" s="123" t="s">
        <v>24</v>
      </c>
      <c r="I29" s="42"/>
    </row>
    <row r="30" spans="1:9" x14ac:dyDescent="0.3">
      <c r="B30" s="1"/>
      <c r="C30" s="84"/>
      <c r="D30" s="41"/>
      <c r="E30" s="44"/>
      <c r="I30" s="42"/>
    </row>
    <row r="31" spans="1:9" x14ac:dyDescent="0.3">
      <c r="A31" s="15" t="s">
        <v>42</v>
      </c>
      <c r="B31" s="1" t="s">
        <v>10</v>
      </c>
      <c r="C31" s="82">
        <f>(C32/C101)*1000</f>
        <v>1807253.5885167464</v>
      </c>
      <c r="D31" s="41" t="s">
        <v>11</v>
      </c>
      <c r="E31" s="123" t="s">
        <v>43</v>
      </c>
      <c r="I31" s="42"/>
    </row>
    <row r="32" spans="1:9" x14ac:dyDescent="0.3">
      <c r="A32" s="15"/>
      <c r="B32" s="1" t="s">
        <v>13</v>
      </c>
      <c r="C32" s="82">
        <v>1888580</v>
      </c>
      <c r="D32" s="41" t="s">
        <v>14</v>
      </c>
      <c r="E32" s="123" t="s">
        <v>15</v>
      </c>
      <c r="I32" s="42"/>
    </row>
    <row r="33" spans="1:10" x14ac:dyDescent="0.3">
      <c r="A33" s="15"/>
      <c r="B33" s="1" t="s">
        <v>16</v>
      </c>
      <c r="C33" s="82">
        <v>4450</v>
      </c>
      <c r="D33" s="41" t="s">
        <v>17</v>
      </c>
      <c r="E33" s="123" t="s">
        <v>44</v>
      </c>
      <c r="I33" s="42"/>
    </row>
    <row r="34" spans="1:10" x14ac:dyDescent="0.3">
      <c r="A34" s="18"/>
      <c r="B34" s="1" t="s">
        <v>19</v>
      </c>
      <c r="C34" s="86">
        <v>41</v>
      </c>
      <c r="D34" s="1" t="s">
        <v>20</v>
      </c>
      <c r="E34" s="123" t="s">
        <v>21</v>
      </c>
      <c r="I34" s="42"/>
      <c r="J34" s="42"/>
    </row>
    <row r="35" spans="1:10" x14ac:dyDescent="0.3">
      <c r="A35" s="18"/>
      <c r="B35" s="1" t="s">
        <v>22</v>
      </c>
      <c r="C35" s="86">
        <f>(C34*C33)/2000</f>
        <v>91.224999999999994</v>
      </c>
      <c r="D35" s="41" t="s">
        <v>23</v>
      </c>
      <c r="E35" s="123" t="s">
        <v>24</v>
      </c>
      <c r="I35" s="42"/>
    </row>
    <row r="36" spans="1:10" ht="18" x14ac:dyDescent="0.4">
      <c r="A36" s="18"/>
      <c r="B36" s="1" t="s">
        <v>25</v>
      </c>
      <c r="C36" s="86">
        <v>0.3</v>
      </c>
      <c r="D36" s="1" t="s">
        <v>20</v>
      </c>
      <c r="E36" s="123" t="s">
        <v>21</v>
      </c>
      <c r="I36" s="42"/>
    </row>
    <row r="37" spans="1:10" ht="18" x14ac:dyDescent="0.4">
      <c r="A37" s="18"/>
      <c r="B37" s="1" t="s">
        <v>26</v>
      </c>
      <c r="C37" s="86">
        <f>(C36*C33)/2000</f>
        <v>0.66749999999999998</v>
      </c>
      <c r="D37" s="41" t="s">
        <v>23</v>
      </c>
      <c r="E37" s="123" t="s">
        <v>24</v>
      </c>
      <c r="I37" s="42"/>
    </row>
    <row r="38" spans="1:10" ht="18" x14ac:dyDescent="0.4">
      <c r="A38" s="18"/>
      <c r="B38" s="1" t="s">
        <v>27</v>
      </c>
      <c r="C38" s="86">
        <v>110</v>
      </c>
      <c r="D38" s="1" t="s">
        <v>28</v>
      </c>
      <c r="E38" s="123" t="s">
        <v>29</v>
      </c>
      <c r="I38" s="42"/>
    </row>
    <row r="39" spans="1:10" ht="18" x14ac:dyDescent="0.4">
      <c r="A39" s="18"/>
      <c r="B39" s="1" t="s">
        <v>30</v>
      </c>
      <c r="C39" s="93">
        <f>(C38*C32)/2000</f>
        <v>103871.9</v>
      </c>
      <c r="D39" s="41" t="s">
        <v>23</v>
      </c>
      <c r="E39" s="123" t="s">
        <v>45</v>
      </c>
      <c r="I39" s="42"/>
    </row>
    <row r="40" spans="1:10" ht="18" x14ac:dyDescent="0.4">
      <c r="A40" s="18"/>
      <c r="B40" s="1" t="s">
        <v>32</v>
      </c>
      <c r="C40" s="128">
        <v>6.6</v>
      </c>
      <c r="D40" s="1" t="s">
        <v>20</v>
      </c>
      <c r="E40" s="123" t="s">
        <v>21</v>
      </c>
      <c r="I40" s="42"/>
    </row>
    <row r="41" spans="1:10" ht="18" x14ac:dyDescent="0.4">
      <c r="A41" s="18"/>
      <c r="B41" s="1" t="s">
        <v>33</v>
      </c>
      <c r="C41" s="86">
        <f>(C40*C33)/2000</f>
        <v>14.685</v>
      </c>
      <c r="D41" s="41" t="s">
        <v>23</v>
      </c>
      <c r="E41" s="123" t="s">
        <v>24</v>
      </c>
      <c r="I41" s="42"/>
    </row>
    <row r="42" spans="1:10" x14ac:dyDescent="0.3">
      <c r="A42" s="18"/>
      <c r="B42" s="1" t="s">
        <v>34</v>
      </c>
      <c r="C42" s="131">
        <v>4.7000000000000002E-3</v>
      </c>
      <c r="D42" s="1" t="s">
        <v>28</v>
      </c>
      <c r="E42" s="123" t="s">
        <v>29</v>
      </c>
      <c r="I42" s="42"/>
    </row>
    <row r="43" spans="1:10" x14ac:dyDescent="0.3">
      <c r="A43" s="18"/>
      <c r="B43" s="1" t="s">
        <v>35</v>
      </c>
      <c r="C43" s="86">
        <f>(C42*C32)/2000</f>
        <v>4.4381630000000003</v>
      </c>
      <c r="D43" s="41" t="s">
        <v>23</v>
      </c>
      <c r="E43" s="123" t="s">
        <v>31</v>
      </c>
      <c r="I43" s="42"/>
    </row>
    <row r="44" spans="1:10" x14ac:dyDescent="0.3">
      <c r="A44" s="18"/>
      <c r="B44" s="1" t="s">
        <v>36</v>
      </c>
      <c r="C44" s="86">
        <v>5</v>
      </c>
      <c r="D44" s="1" t="s">
        <v>20</v>
      </c>
      <c r="E44" s="123" t="s">
        <v>21</v>
      </c>
      <c r="I44" s="42"/>
    </row>
    <row r="45" spans="1:10" x14ac:dyDescent="0.3">
      <c r="A45" s="18"/>
      <c r="B45" s="1" t="s">
        <v>37</v>
      </c>
      <c r="C45" s="86">
        <f>(C44*C33)/2000</f>
        <v>11.125</v>
      </c>
      <c r="D45" s="1" t="s">
        <v>23</v>
      </c>
      <c r="E45" s="123" t="s">
        <v>24</v>
      </c>
      <c r="I45" s="42"/>
    </row>
    <row r="46" spans="1:10" x14ac:dyDescent="0.3">
      <c r="A46" s="18"/>
      <c r="B46" s="1" t="s">
        <v>38</v>
      </c>
      <c r="C46" s="86">
        <v>57</v>
      </c>
      <c r="D46" s="1" t="s">
        <v>20</v>
      </c>
      <c r="E46" s="123" t="s">
        <v>21</v>
      </c>
      <c r="I46" s="42"/>
    </row>
    <row r="47" spans="1:10" x14ac:dyDescent="0.3">
      <c r="A47" s="18"/>
      <c r="B47" s="1" t="s">
        <v>39</v>
      </c>
      <c r="C47" s="86">
        <f>(C46*C33)/2000</f>
        <v>126.825</v>
      </c>
      <c r="D47" s="41" t="s">
        <v>23</v>
      </c>
      <c r="E47" s="123" t="s">
        <v>24</v>
      </c>
      <c r="I47" s="42"/>
    </row>
    <row r="48" spans="1:10" x14ac:dyDescent="0.3">
      <c r="A48" s="18"/>
      <c r="B48" s="41" t="s">
        <v>40</v>
      </c>
      <c r="C48" s="86">
        <v>1.4</v>
      </c>
      <c r="D48" s="1" t="s">
        <v>20</v>
      </c>
      <c r="E48" s="123" t="s">
        <v>21</v>
      </c>
      <c r="I48" s="42"/>
    </row>
    <row r="49" spans="1:10" x14ac:dyDescent="0.3">
      <c r="A49" s="18"/>
      <c r="B49" s="1" t="s">
        <v>41</v>
      </c>
      <c r="C49" s="128">
        <f>(C48*C33)/2000</f>
        <v>3.1150000000000002</v>
      </c>
      <c r="D49" s="1" t="s">
        <v>23</v>
      </c>
      <c r="E49" s="123" t="s">
        <v>24</v>
      </c>
      <c r="I49" s="42"/>
    </row>
    <row r="50" spans="1:10" x14ac:dyDescent="0.3">
      <c r="A50" s="18"/>
      <c r="B50" s="41"/>
      <c r="C50" s="43"/>
      <c r="D50" s="41"/>
      <c r="E50" s="43"/>
      <c r="I50" s="42"/>
    </row>
    <row r="51" spans="1:10" x14ac:dyDescent="0.3">
      <c r="A51" s="10" t="s">
        <v>5</v>
      </c>
      <c r="B51" s="10" t="s">
        <v>6</v>
      </c>
      <c r="C51" s="11" t="s">
        <v>7</v>
      </c>
      <c r="E51" s="12" t="s">
        <v>8</v>
      </c>
      <c r="I51" s="42"/>
    </row>
    <row r="52" spans="1:10" x14ac:dyDescent="0.3">
      <c r="A52" s="18"/>
      <c r="B52" s="41"/>
      <c r="C52" s="43"/>
      <c r="D52" s="41"/>
      <c r="E52" s="43"/>
      <c r="I52" s="42"/>
    </row>
    <row r="53" spans="1:10" x14ac:dyDescent="0.3">
      <c r="A53" s="15" t="s">
        <v>46</v>
      </c>
      <c r="B53" s="1" t="s">
        <v>10</v>
      </c>
      <c r="C53" s="82">
        <f>(C54/C101)*1000</f>
        <v>17553531.100478467</v>
      </c>
      <c r="D53" s="41" t="s">
        <v>11</v>
      </c>
      <c r="E53" s="123" t="s">
        <v>43</v>
      </c>
      <c r="I53" s="42"/>
    </row>
    <row r="54" spans="1:10" x14ac:dyDescent="0.3">
      <c r="A54" s="15"/>
      <c r="B54" s="1" t="s">
        <v>13</v>
      </c>
      <c r="C54" s="82">
        <v>18343440</v>
      </c>
      <c r="D54" s="41" t="s">
        <v>14</v>
      </c>
      <c r="E54" s="123" t="s">
        <v>47</v>
      </c>
      <c r="I54" s="42"/>
    </row>
    <row r="55" spans="1:10" x14ac:dyDescent="0.3">
      <c r="A55" s="15"/>
      <c r="B55" s="1" t="s">
        <v>16</v>
      </c>
      <c r="C55" s="82">
        <v>8760</v>
      </c>
      <c r="D55" s="41" t="s">
        <v>17</v>
      </c>
      <c r="E55" s="123" t="s">
        <v>48</v>
      </c>
      <c r="I55" s="42"/>
    </row>
    <row r="56" spans="1:10" ht="15" customHeight="1" x14ac:dyDescent="0.3">
      <c r="B56" s="1" t="s">
        <v>19</v>
      </c>
      <c r="C56" s="127">
        <v>20</v>
      </c>
      <c r="D56" s="1" t="s">
        <v>20</v>
      </c>
      <c r="E56" s="123" t="s">
        <v>21</v>
      </c>
      <c r="I56" s="42"/>
      <c r="J56" s="42"/>
    </row>
    <row r="57" spans="1:10" ht="15" customHeight="1" x14ac:dyDescent="0.3">
      <c r="A57" s="51"/>
      <c r="B57" s="1" t="s">
        <v>22</v>
      </c>
      <c r="C57" s="84">
        <f>(C55*C56)/2000</f>
        <v>87.6</v>
      </c>
      <c r="D57" s="41" t="s">
        <v>23</v>
      </c>
      <c r="E57" s="123" t="s">
        <v>49</v>
      </c>
      <c r="I57" s="42"/>
    </row>
    <row r="58" spans="1:10" ht="15" customHeight="1" x14ac:dyDescent="0.3">
      <c r="A58" s="51"/>
      <c r="B58" s="1" t="s">
        <v>38</v>
      </c>
      <c r="C58" s="84">
        <v>48</v>
      </c>
      <c r="D58" s="1" t="s">
        <v>20</v>
      </c>
      <c r="E58" s="123" t="s">
        <v>21</v>
      </c>
      <c r="I58" s="42"/>
    </row>
    <row r="59" spans="1:10" ht="15" customHeight="1" x14ac:dyDescent="0.3">
      <c r="A59" s="51"/>
      <c r="B59" s="1" t="s">
        <v>39</v>
      </c>
      <c r="C59" s="86">
        <f>(C58*C55)/2000</f>
        <v>210.24</v>
      </c>
      <c r="D59" s="41" t="s">
        <v>23</v>
      </c>
      <c r="E59" s="123" t="s">
        <v>49</v>
      </c>
      <c r="I59" s="42"/>
    </row>
    <row r="60" spans="1:10" ht="15" customHeight="1" x14ac:dyDescent="0.4">
      <c r="A60" s="51"/>
      <c r="B60" s="1" t="s">
        <v>25</v>
      </c>
      <c r="C60" s="86">
        <v>5.7</v>
      </c>
      <c r="D60" s="1" t="s">
        <v>20</v>
      </c>
      <c r="E60" s="123" t="s">
        <v>21</v>
      </c>
      <c r="I60" s="42"/>
    </row>
    <row r="61" spans="1:10" ht="15" customHeight="1" x14ac:dyDescent="0.4">
      <c r="A61" s="51"/>
      <c r="B61" s="1" t="s">
        <v>26</v>
      </c>
      <c r="C61" s="86">
        <f>(C60*C55)/2000</f>
        <v>24.966000000000001</v>
      </c>
      <c r="D61" s="41" t="s">
        <v>23</v>
      </c>
      <c r="E61" s="123" t="s">
        <v>49</v>
      </c>
      <c r="I61" s="42"/>
    </row>
    <row r="62" spans="1:10" ht="15" customHeight="1" x14ac:dyDescent="0.4">
      <c r="A62" s="51"/>
      <c r="B62" s="1" t="s">
        <v>32</v>
      </c>
      <c r="C62" s="127">
        <v>19</v>
      </c>
      <c r="D62" s="1" t="s">
        <v>20</v>
      </c>
      <c r="E62" s="123" t="s">
        <v>21</v>
      </c>
      <c r="I62" s="42"/>
    </row>
    <row r="63" spans="1:10" ht="15" customHeight="1" x14ac:dyDescent="0.4">
      <c r="A63" s="51"/>
      <c r="B63" s="1" t="s">
        <v>33</v>
      </c>
      <c r="C63" s="85">
        <f>(C62*C55)/2000</f>
        <v>83.22</v>
      </c>
      <c r="D63" s="41" t="s">
        <v>23</v>
      </c>
      <c r="E63" s="123" t="s">
        <v>49</v>
      </c>
      <c r="I63" s="42"/>
    </row>
    <row r="64" spans="1:10" ht="15" customHeight="1" x14ac:dyDescent="0.3">
      <c r="A64" s="51"/>
      <c r="B64" s="1" t="s">
        <v>36</v>
      </c>
      <c r="C64" s="86">
        <v>3.8</v>
      </c>
      <c r="D64" s="1" t="s">
        <v>20</v>
      </c>
      <c r="E64" s="123" t="s">
        <v>21</v>
      </c>
      <c r="I64" s="42"/>
    </row>
    <row r="65" spans="1:10" ht="15" customHeight="1" x14ac:dyDescent="0.3">
      <c r="A65" s="51"/>
      <c r="B65" s="1" t="s">
        <v>37</v>
      </c>
      <c r="C65" s="85">
        <f>(C64*C55)/2000</f>
        <v>16.643999999999998</v>
      </c>
      <c r="D65" s="41" t="s">
        <v>23</v>
      </c>
      <c r="E65" s="123" t="s">
        <v>49</v>
      </c>
      <c r="I65" s="42"/>
    </row>
    <row r="66" spans="1:10" ht="18" customHeight="1" x14ac:dyDescent="0.4">
      <c r="A66" s="51"/>
      <c r="B66" s="1" t="s">
        <v>50</v>
      </c>
      <c r="C66" s="93">
        <v>246448</v>
      </c>
      <c r="D66" s="1" t="s">
        <v>20</v>
      </c>
      <c r="E66" s="123" t="s">
        <v>51</v>
      </c>
      <c r="I66" s="42"/>
    </row>
    <row r="67" spans="1:10" ht="15" customHeight="1" x14ac:dyDescent="0.4">
      <c r="A67" s="51"/>
      <c r="B67" s="1" t="s">
        <v>30</v>
      </c>
      <c r="C67" s="93">
        <f>(C66*C55)/2000</f>
        <v>1079442.24</v>
      </c>
      <c r="D67" s="41" t="s">
        <v>23</v>
      </c>
      <c r="E67" s="123" t="s">
        <v>52</v>
      </c>
      <c r="I67" s="42"/>
    </row>
    <row r="68" spans="1:10" ht="15" customHeight="1" x14ac:dyDescent="0.4">
      <c r="A68" s="51"/>
      <c r="B68" s="41" t="s">
        <v>53</v>
      </c>
      <c r="C68" s="86">
        <v>28</v>
      </c>
      <c r="D68" s="1" t="s">
        <v>54</v>
      </c>
      <c r="E68" s="123" t="s">
        <v>21</v>
      </c>
      <c r="I68" s="42"/>
    </row>
    <row r="69" spans="1:10" ht="15" customHeight="1" x14ac:dyDescent="0.4">
      <c r="A69" s="51"/>
      <c r="B69" s="1" t="s">
        <v>55</v>
      </c>
      <c r="C69" s="86">
        <f>(C68*C55)/2000</f>
        <v>122.64</v>
      </c>
      <c r="D69" s="1" t="s">
        <v>23</v>
      </c>
      <c r="E69" s="123" t="s">
        <v>56</v>
      </c>
      <c r="I69" s="42"/>
    </row>
    <row r="70" spans="1:10" ht="15" customHeight="1" x14ac:dyDescent="0.3">
      <c r="A70" s="51"/>
      <c r="B70" s="41" t="s">
        <v>40</v>
      </c>
      <c r="C70" s="85">
        <v>0.68</v>
      </c>
      <c r="D70" s="1" t="s">
        <v>54</v>
      </c>
      <c r="E70" s="123" t="s">
        <v>21</v>
      </c>
      <c r="I70" s="42"/>
    </row>
    <row r="71" spans="1:10" ht="15" customHeight="1" x14ac:dyDescent="0.3">
      <c r="A71" s="51"/>
      <c r="B71" s="1" t="s">
        <v>41</v>
      </c>
      <c r="C71" s="85">
        <f>(C70*C55)/2000</f>
        <v>2.9784000000000002</v>
      </c>
      <c r="D71" s="1" t="s">
        <v>23</v>
      </c>
      <c r="E71" s="123" t="s">
        <v>56</v>
      </c>
      <c r="I71" s="42"/>
    </row>
    <row r="72" spans="1:10" ht="15" customHeight="1" x14ac:dyDescent="0.3">
      <c r="B72" s="1" t="s">
        <v>34</v>
      </c>
      <c r="C72" s="83">
        <v>2.1000000000000001E-2</v>
      </c>
      <c r="D72" s="41" t="s">
        <v>57</v>
      </c>
      <c r="E72" s="123" t="s">
        <v>58</v>
      </c>
      <c r="I72" s="42"/>
    </row>
    <row r="73" spans="1:10" ht="15" customHeight="1" x14ac:dyDescent="0.3">
      <c r="B73" s="1" t="s">
        <v>35</v>
      </c>
      <c r="C73" s="86">
        <f>(C72*C54)/2000</f>
        <v>192.60612000000003</v>
      </c>
      <c r="D73" s="1" t="s">
        <v>23</v>
      </c>
      <c r="E73" s="123" t="s">
        <v>59</v>
      </c>
      <c r="I73" s="42"/>
    </row>
    <row r="74" spans="1:10" ht="15" customHeight="1" x14ac:dyDescent="0.3">
      <c r="B74" s="1" t="s">
        <v>60</v>
      </c>
      <c r="C74" s="83">
        <v>0.68500000000000005</v>
      </c>
      <c r="D74" s="1" t="s">
        <v>20</v>
      </c>
      <c r="E74" s="123" t="s">
        <v>21</v>
      </c>
      <c r="I74" s="42"/>
    </row>
    <row r="75" spans="1:10" ht="15" customHeight="1" x14ac:dyDescent="0.3">
      <c r="B75" s="1" t="s">
        <v>61</v>
      </c>
      <c r="C75" s="86">
        <f>(C74*C55)/2000</f>
        <v>3.0003000000000002</v>
      </c>
      <c r="D75" s="1" t="s">
        <v>23</v>
      </c>
      <c r="E75" s="123" t="s">
        <v>56</v>
      </c>
      <c r="I75" s="42"/>
    </row>
    <row r="76" spans="1:10" ht="15" customHeight="1" x14ac:dyDescent="0.3">
      <c r="B76" s="1"/>
      <c r="C76" s="43"/>
      <c r="D76" s="41"/>
      <c r="E76" s="44"/>
      <c r="I76" s="42"/>
    </row>
    <row r="77" spans="1:10" ht="21" customHeight="1" x14ac:dyDescent="0.3">
      <c r="A77" s="15" t="s">
        <v>62</v>
      </c>
      <c r="B77" s="1" t="s">
        <v>10</v>
      </c>
      <c r="C77" s="82">
        <f>(C78/C101)*1000</f>
        <v>17553531.100478467</v>
      </c>
      <c r="D77" s="41" t="s">
        <v>11</v>
      </c>
      <c r="E77" s="123" t="s">
        <v>43</v>
      </c>
      <c r="I77" s="42"/>
    </row>
    <row r="78" spans="1:10" x14ac:dyDescent="0.3">
      <c r="A78" s="15"/>
      <c r="B78" s="1" t="s">
        <v>13</v>
      </c>
      <c r="C78" s="82">
        <v>18343440</v>
      </c>
      <c r="D78" s="41" t="s">
        <v>14</v>
      </c>
      <c r="E78" s="123" t="s">
        <v>47</v>
      </c>
      <c r="I78" s="42"/>
    </row>
    <row r="79" spans="1:10" x14ac:dyDescent="0.3">
      <c r="A79" s="15"/>
      <c r="B79" s="1" t="s">
        <v>16</v>
      </c>
      <c r="C79" s="82">
        <v>8760</v>
      </c>
      <c r="D79" s="41" t="s">
        <v>17</v>
      </c>
      <c r="E79" s="123" t="s">
        <v>48</v>
      </c>
      <c r="I79" s="42"/>
    </row>
    <row r="80" spans="1:10" x14ac:dyDescent="0.3">
      <c r="B80" s="1" t="s">
        <v>19</v>
      </c>
      <c r="C80" s="127">
        <v>20</v>
      </c>
      <c r="D80" s="1" t="s">
        <v>20</v>
      </c>
      <c r="E80" s="123" t="s">
        <v>21</v>
      </c>
      <c r="I80" s="42"/>
      <c r="J80" s="42"/>
    </row>
    <row r="81" spans="1:5" ht="15" customHeight="1" x14ac:dyDescent="0.3">
      <c r="A81" s="51"/>
      <c r="B81" s="1" t="s">
        <v>22</v>
      </c>
      <c r="C81" s="86">
        <f>(C79*C80)/2000</f>
        <v>87.6</v>
      </c>
      <c r="D81" s="41" t="s">
        <v>23</v>
      </c>
      <c r="E81" s="123" t="s">
        <v>49</v>
      </c>
    </row>
    <row r="82" spans="1:5" ht="15" customHeight="1" x14ac:dyDescent="0.3">
      <c r="A82" s="51"/>
      <c r="B82" s="1" t="s">
        <v>38</v>
      </c>
      <c r="C82" s="127">
        <v>48</v>
      </c>
      <c r="D82" s="1" t="s">
        <v>20</v>
      </c>
      <c r="E82" s="123" t="s">
        <v>21</v>
      </c>
    </row>
    <row r="83" spans="1:5" ht="15" customHeight="1" x14ac:dyDescent="0.3">
      <c r="A83" s="51"/>
      <c r="B83" s="1" t="s">
        <v>39</v>
      </c>
      <c r="C83" s="86">
        <f>(C79*C82)/2000</f>
        <v>210.24</v>
      </c>
      <c r="D83" s="41" t="s">
        <v>23</v>
      </c>
      <c r="E83" s="123" t="s">
        <v>49</v>
      </c>
    </row>
    <row r="84" spans="1:5" ht="15" customHeight="1" x14ac:dyDescent="0.4">
      <c r="A84" s="51"/>
      <c r="B84" s="1" t="s">
        <v>25</v>
      </c>
      <c r="C84" s="86">
        <v>5.7</v>
      </c>
      <c r="D84" s="1" t="s">
        <v>20</v>
      </c>
      <c r="E84" s="123" t="s">
        <v>21</v>
      </c>
    </row>
    <row r="85" spans="1:5" ht="15" customHeight="1" x14ac:dyDescent="0.4">
      <c r="A85" s="51"/>
      <c r="B85" s="1" t="s">
        <v>26</v>
      </c>
      <c r="C85" s="86">
        <f>(C79*C84)/2000</f>
        <v>24.966000000000001</v>
      </c>
      <c r="D85" s="41" t="s">
        <v>23</v>
      </c>
      <c r="E85" s="123" t="s">
        <v>49</v>
      </c>
    </row>
    <row r="86" spans="1:5" ht="15" customHeight="1" x14ac:dyDescent="0.4">
      <c r="A86" s="51"/>
      <c r="B86" s="1" t="s">
        <v>32</v>
      </c>
      <c r="C86" s="93">
        <v>19</v>
      </c>
      <c r="D86" s="1" t="s">
        <v>20</v>
      </c>
      <c r="E86" s="123" t="s">
        <v>21</v>
      </c>
    </row>
    <row r="87" spans="1:5" ht="15" customHeight="1" x14ac:dyDescent="0.4">
      <c r="A87" s="51"/>
      <c r="B87" s="1" t="s">
        <v>33</v>
      </c>
      <c r="C87" s="129">
        <f>(C79*C86)/2000</f>
        <v>83.22</v>
      </c>
      <c r="D87" s="41" t="s">
        <v>23</v>
      </c>
      <c r="E87" s="123" t="s">
        <v>49</v>
      </c>
    </row>
    <row r="88" spans="1:5" ht="15" customHeight="1" x14ac:dyDescent="0.3">
      <c r="A88" s="51"/>
      <c r="B88" s="1" t="s">
        <v>36</v>
      </c>
      <c r="C88" s="128">
        <v>3.8</v>
      </c>
      <c r="D88" s="1" t="s">
        <v>20</v>
      </c>
      <c r="E88" s="123" t="s">
        <v>21</v>
      </c>
    </row>
    <row r="89" spans="1:5" ht="15" customHeight="1" x14ac:dyDescent="0.3">
      <c r="A89" s="51"/>
      <c r="B89" s="1" t="s">
        <v>37</v>
      </c>
      <c r="C89" s="129">
        <f>(C79*C88)/2000</f>
        <v>16.643999999999998</v>
      </c>
      <c r="D89" s="41" t="s">
        <v>23</v>
      </c>
      <c r="E89" s="123" t="s">
        <v>49</v>
      </c>
    </row>
    <row r="90" spans="1:5" ht="16.5" customHeight="1" x14ac:dyDescent="0.4">
      <c r="A90" s="51"/>
      <c r="B90" s="1" t="s">
        <v>50</v>
      </c>
      <c r="C90" s="93">
        <v>246448</v>
      </c>
      <c r="D90" s="1" t="s">
        <v>20</v>
      </c>
      <c r="E90" s="123" t="s">
        <v>51</v>
      </c>
    </row>
    <row r="91" spans="1:5" ht="15" customHeight="1" x14ac:dyDescent="0.4">
      <c r="A91" s="51"/>
      <c r="B91" s="1" t="s">
        <v>30</v>
      </c>
      <c r="C91" s="93">
        <f>(C79*C90)/2000</f>
        <v>1079442.24</v>
      </c>
      <c r="D91" s="41" t="s">
        <v>23</v>
      </c>
      <c r="E91" s="123" t="s">
        <v>52</v>
      </c>
    </row>
    <row r="92" spans="1:5" ht="15" customHeight="1" x14ac:dyDescent="0.4">
      <c r="A92" s="51"/>
      <c r="B92" s="41" t="s">
        <v>53</v>
      </c>
      <c r="C92" s="128">
        <v>28</v>
      </c>
      <c r="D92" s="1" t="s">
        <v>54</v>
      </c>
      <c r="E92" s="123" t="s">
        <v>21</v>
      </c>
    </row>
    <row r="93" spans="1:5" ht="15" customHeight="1" x14ac:dyDescent="0.4">
      <c r="A93" s="51"/>
      <c r="B93" s="1" t="s">
        <v>55</v>
      </c>
      <c r="C93" s="128">
        <f>(C79*C92)/2000</f>
        <v>122.64</v>
      </c>
      <c r="D93" s="1" t="s">
        <v>23</v>
      </c>
      <c r="E93" s="123" t="s">
        <v>56</v>
      </c>
    </row>
    <row r="94" spans="1:5" ht="15" customHeight="1" x14ac:dyDescent="0.3">
      <c r="A94" s="51"/>
      <c r="B94" s="41" t="s">
        <v>40</v>
      </c>
      <c r="C94" s="129">
        <v>0.68</v>
      </c>
      <c r="D94" s="1" t="s">
        <v>54</v>
      </c>
      <c r="E94" s="123" t="s">
        <v>21</v>
      </c>
    </row>
    <row r="95" spans="1:5" ht="15" customHeight="1" x14ac:dyDescent="0.3">
      <c r="A95" s="51"/>
      <c r="B95" s="1" t="s">
        <v>41</v>
      </c>
      <c r="C95" s="129">
        <f>(C79*C94)/2000</f>
        <v>2.9784000000000002</v>
      </c>
      <c r="D95" s="1" t="s">
        <v>23</v>
      </c>
      <c r="E95" s="123" t="s">
        <v>56</v>
      </c>
    </row>
    <row r="96" spans="1:5" ht="15" customHeight="1" x14ac:dyDescent="0.3">
      <c r="A96" s="51"/>
      <c r="B96" s="1" t="s">
        <v>34</v>
      </c>
      <c r="C96" s="99">
        <v>2.3E-2</v>
      </c>
      <c r="D96" s="41" t="s">
        <v>57</v>
      </c>
      <c r="E96" s="123" t="s">
        <v>58</v>
      </c>
    </row>
    <row r="97" spans="1:5" ht="15" customHeight="1" x14ac:dyDescent="0.3">
      <c r="A97" s="51"/>
      <c r="B97" s="1" t="s">
        <v>35</v>
      </c>
      <c r="C97" s="128">
        <f>(C78*C96)/2000</f>
        <v>210.94955999999999</v>
      </c>
      <c r="D97" s="1" t="s">
        <v>23</v>
      </c>
      <c r="E97" s="123" t="s">
        <v>59</v>
      </c>
    </row>
    <row r="98" spans="1:5" ht="15" customHeight="1" x14ac:dyDescent="0.3">
      <c r="A98" s="51"/>
      <c r="B98" s="1" t="s">
        <v>60</v>
      </c>
      <c r="C98" s="99">
        <v>0.68500000000000005</v>
      </c>
      <c r="D98" s="1" t="s">
        <v>20</v>
      </c>
      <c r="E98" s="123" t="s">
        <v>21</v>
      </c>
    </row>
    <row r="99" spans="1:5" ht="15" customHeight="1" x14ac:dyDescent="0.3">
      <c r="A99" s="51"/>
      <c r="B99" s="1" t="s">
        <v>61</v>
      </c>
      <c r="C99" s="128">
        <f>(C79*C98)/2000</f>
        <v>3.0003000000000002</v>
      </c>
      <c r="D99" s="1" t="s">
        <v>23</v>
      </c>
      <c r="E99" s="123" t="s">
        <v>56</v>
      </c>
    </row>
    <row r="100" spans="1:5" ht="15" customHeight="1" x14ac:dyDescent="0.3">
      <c r="B100" s="1"/>
      <c r="C100" s="43"/>
      <c r="D100" s="41"/>
      <c r="E100" s="44"/>
    </row>
    <row r="101" spans="1:5" ht="15" customHeight="1" x14ac:dyDescent="0.3">
      <c r="A101" s="15" t="s">
        <v>63</v>
      </c>
      <c r="B101" s="1" t="s">
        <v>64</v>
      </c>
      <c r="C101" s="82">
        <v>1045</v>
      </c>
      <c r="D101" s="1" t="s">
        <v>65</v>
      </c>
      <c r="E101" s="123" t="s">
        <v>66</v>
      </c>
    </row>
    <row r="102" spans="1:5" x14ac:dyDescent="0.3">
      <c r="A102" s="18"/>
      <c r="B102" s="1"/>
      <c r="C102" s="76"/>
      <c r="D102" s="41"/>
      <c r="E102" s="43"/>
    </row>
    <row r="103" spans="1:5" x14ac:dyDescent="0.3">
      <c r="A103" s="18" t="s">
        <v>67</v>
      </c>
      <c r="B103" s="1" t="s">
        <v>68</v>
      </c>
      <c r="C103" s="43"/>
      <c r="D103" s="15" t="s">
        <v>69</v>
      </c>
      <c r="E103" s="19"/>
    </row>
    <row r="104" spans="1:5" x14ac:dyDescent="0.3">
      <c r="B104" s="1"/>
      <c r="C104" s="43"/>
      <c r="D104" s="41"/>
      <c r="E104" s="19"/>
    </row>
    <row r="105" spans="1:5" x14ac:dyDescent="0.3">
      <c r="A105" s="119" t="s">
        <v>70</v>
      </c>
      <c r="B105" s="120"/>
      <c r="C105" s="121"/>
      <c r="D105" s="120"/>
      <c r="E105" s="122"/>
    </row>
    <row r="126" ht="14.1" customHeight="1" x14ac:dyDescent="0.3"/>
    <row r="129" spans="6:8" x14ac:dyDescent="0.3">
      <c r="F129" s="1" t="s">
        <v>71</v>
      </c>
      <c r="G129" s="1" t="s">
        <v>72</v>
      </c>
    </row>
    <row r="130" spans="6:8" x14ac:dyDescent="0.3">
      <c r="F130" s="1" t="s">
        <v>73</v>
      </c>
      <c r="G130" s="1" t="s">
        <v>74</v>
      </c>
    </row>
    <row r="131" spans="6:8" x14ac:dyDescent="0.3">
      <c r="F131" s="1" t="s">
        <v>71</v>
      </c>
      <c r="G131" s="1" t="s">
        <v>72</v>
      </c>
    </row>
    <row r="132" spans="6:8" x14ac:dyDescent="0.3">
      <c r="F132" s="1" t="s">
        <v>73</v>
      </c>
      <c r="G132" s="1" t="s">
        <v>74</v>
      </c>
    </row>
    <row r="133" spans="6:8" x14ac:dyDescent="0.3">
      <c r="F133" s="1" t="s">
        <v>71</v>
      </c>
      <c r="G133" s="1" t="s">
        <v>72</v>
      </c>
    </row>
    <row r="134" spans="6:8" x14ac:dyDescent="0.3">
      <c r="F134" s="1" t="s">
        <v>73</v>
      </c>
      <c r="G134" s="1" t="s">
        <v>74</v>
      </c>
    </row>
    <row r="140" spans="6:8" x14ac:dyDescent="0.3">
      <c r="F140" s="20" t="s">
        <v>75</v>
      </c>
    </row>
    <row r="141" spans="6:8" x14ac:dyDescent="0.3">
      <c r="F141" s="1" t="s">
        <v>76</v>
      </c>
      <c r="G141" s="16">
        <v>200</v>
      </c>
      <c r="H141" s="1" t="s">
        <v>74</v>
      </c>
    </row>
    <row r="142" spans="6:8" x14ac:dyDescent="0.3">
      <c r="F142" s="20" t="s">
        <v>77</v>
      </c>
    </row>
    <row r="143" spans="6:8" x14ac:dyDescent="0.3">
      <c r="F143" s="1" t="s">
        <v>78</v>
      </c>
      <c r="H143" s="1" t="s">
        <v>79</v>
      </c>
    </row>
    <row r="144" spans="6:8" x14ac:dyDescent="0.3">
      <c r="F144" s="1" t="s">
        <v>80</v>
      </c>
      <c r="H144" s="1" t="s">
        <v>79</v>
      </c>
    </row>
    <row r="145" spans="1:8" x14ac:dyDescent="0.3">
      <c r="C145" s="2"/>
      <c r="E145" s="17"/>
      <c r="F145" s="1" t="s">
        <v>81</v>
      </c>
      <c r="H145" s="1" t="s">
        <v>79</v>
      </c>
    </row>
    <row r="146" spans="1:8" ht="18" x14ac:dyDescent="0.35">
      <c r="A146" s="15" t="s">
        <v>67</v>
      </c>
      <c r="B146" s="1" t="s">
        <v>82</v>
      </c>
      <c r="C146" s="88" t="str">
        <f>+D103</f>
        <v>PTE CALCULATIONS</v>
      </c>
      <c r="D146" s="9"/>
      <c r="E146" s="14"/>
      <c r="F146" s="1" t="s">
        <v>83</v>
      </c>
      <c r="H146" s="1" t="s">
        <v>79</v>
      </c>
    </row>
    <row r="147" spans="1:8" hidden="1" x14ac:dyDescent="0.3">
      <c r="A147" s="9"/>
      <c r="B147" s="1" t="s">
        <v>84</v>
      </c>
      <c r="C147" s="575">
        <f ca="1">TODAY()</f>
        <v>46155</v>
      </c>
      <c r="D147" s="9"/>
      <c r="E147" s="9"/>
    </row>
    <row r="148" spans="1:8" ht="18" hidden="1" x14ac:dyDescent="0.35">
      <c r="A148" s="9"/>
      <c r="B148" s="9"/>
      <c r="C148" s="89" t="s">
        <v>85</v>
      </c>
      <c r="D148" s="9"/>
      <c r="E148" s="9"/>
    </row>
    <row r="149" spans="1:8" hidden="1" x14ac:dyDescent="0.3">
      <c r="A149" s="9"/>
      <c r="B149" s="9"/>
      <c r="C149" s="21" t="s">
        <v>86</v>
      </c>
      <c r="D149" s="9"/>
      <c r="E149" s="9"/>
    </row>
    <row r="150" spans="1:8" ht="18" hidden="1" x14ac:dyDescent="0.35">
      <c r="A150" s="9"/>
      <c r="B150" s="9"/>
      <c r="C150" s="24" t="str">
        <f>FIXED(C146,0,TRUE)</f>
        <v>0</v>
      </c>
      <c r="D150" s="9"/>
      <c r="E150" s="9"/>
    </row>
    <row r="151" spans="1:8" hidden="1" x14ac:dyDescent="0.3">
      <c r="A151" s="9"/>
      <c r="B151" s="9"/>
      <c r="C151" s="9"/>
      <c r="D151" s="9"/>
      <c r="E151" s="9"/>
    </row>
    <row r="152" spans="1:8" ht="18" hidden="1" x14ac:dyDescent="0.35">
      <c r="A152" s="9"/>
      <c r="B152" s="9"/>
      <c r="C152" s="24" t="str">
        <f>IF(C156=1,REPLACE(C148,1,4,C146),REPLACE(C148,1,4,C150))</f>
        <v>PTE CALCULATIONS EMISSIONS SUMMARY</v>
      </c>
      <c r="D152" s="9"/>
      <c r="E152" s="9"/>
    </row>
    <row r="153" spans="1:8" x14ac:dyDescent="0.3">
      <c r="A153" s="9"/>
      <c r="B153" s="9"/>
      <c r="C153" s="9"/>
      <c r="D153" s="9"/>
      <c r="E153" s="9"/>
    </row>
    <row r="154" spans="1:8" x14ac:dyDescent="0.3">
      <c r="A154" s="9"/>
      <c r="B154" s="9"/>
      <c r="C154" s="9"/>
      <c r="D154" s="9"/>
      <c r="E154" s="9"/>
    </row>
    <row r="155" spans="1:8" x14ac:dyDescent="0.3">
      <c r="A155" s="9"/>
      <c r="B155" s="9"/>
      <c r="C155" s="9"/>
      <c r="D155" s="9"/>
      <c r="E155" s="9"/>
    </row>
    <row r="156" spans="1:8" x14ac:dyDescent="0.3">
      <c r="A156" s="9"/>
      <c r="B156" s="9"/>
      <c r="C156" s="9" t="b">
        <f>ISTEXT(C146)</f>
        <v>1</v>
      </c>
      <c r="D156" s="9"/>
      <c r="E156" s="9"/>
    </row>
    <row r="157" spans="1:8" x14ac:dyDescent="0.3">
      <c r="A157" s="9"/>
      <c r="B157" s="9"/>
      <c r="C157" s="9"/>
      <c r="D157" s="9"/>
      <c r="E157" s="9"/>
    </row>
    <row r="158" spans="1:8" x14ac:dyDescent="0.3">
      <c r="A158" s="9"/>
      <c r="B158" s="9"/>
      <c r="C158" s="9"/>
      <c r="D158" s="9"/>
      <c r="E158" s="9"/>
    </row>
    <row r="159" spans="1:8" x14ac:dyDescent="0.3">
      <c r="A159" s="9"/>
      <c r="B159" s="9"/>
      <c r="C159" s="9">
        <f>IF(C156=0,1,0)</f>
        <v>0</v>
      </c>
      <c r="D159" s="9"/>
      <c r="E159" s="9"/>
    </row>
    <row r="160" spans="1:8" x14ac:dyDescent="0.3">
      <c r="A160" s="9"/>
      <c r="B160" s="9"/>
      <c r="C160" s="9"/>
      <c r="D160" s="9"/>
      <c r="E160" s="9"/>
    </row>
    <row r="161" spans="1:5" x14ac:dyDescent="0.3">
      <c r="A161" s="9"/>
      <c r="B161" s="9"/>
      <c r="C161" s="9"/>
      <c r="D161" s="9"/>
      <c r="E161" s="9"/>
    </row>
    <row r="162" spans="1:5" x14ac:dyDescent="0.3">
      <c r="A162" s="9"/>
      <c r="B162" s="9"/>
      <c r="C162" s="9"/>
      <c r="D162" s="9"/>
      <c r="E162" s="9"/>
    </row>
    <row r="163" spans="1:5" x14ac:dyDescent="0.3">
      <c r="A163" s="9"/>
      <c r="B163" s="9"/>
      <c r="C163" s="9"/>
      <c r="D163" s="9"/>
      <c r="E163" s="9"/>
    </row>
    <row r="164" spans="1:5" x14ac:dyDescent="0.3">
      <c r="A164" s="9"/>
      <c r="B164" s="9"/>
      <c r="C164" s="9"/>
      <c r="D164" s="9"/>
      <c r="E164" s="9"/>
    </row>
    <row r="165" spans="1:5" x14ac:dyDescent="0.3">
      <c r="A165" s="9"/>
      <c r="B165" s="9"/>
      <c r="C165" s="9"/>
      <c r="D165" s="9"/>
      <c r="E165" s="9"/>
    </row>
    <row r="166" spans="1:5" x14ac:dyDescent="0.3">
      <c r="A166" s="9"/>
      <c r="B166" s="9"/>
      <c r="C166" s="9"/>
      <c r="D166" s="9"/>
      <c r="E166" s="9"/>
    </row>
    <row r="167" spans="1:5" x14ac:dyDescent="0.3">
      <c r="A167" s="9"/>
      <c r="B167" s="9"/>
      <c r="C167" s="9"/>
      <c r="D167" s="9"/>
      <c r="E167" s="9"/>
    </row>
    <row r="168" spans="1:5" x14ac:dyDescent="0.3">
      <c r="A168" s="23"/>
      <c r="B168" s="23"/>
      <c r="C168" s="9"/>
      <c r="D168" s="9"/>
      <c r="E168" s="9"/>
    </row>
    <row r="169" spans="1:5" x14ac:dyDescent="0.3">
      <c r="A169" s="23"/>
      <c r="B169" s="23"/>
      <c r="C169" s="9"/>
      <c r="D169" s="9"/>
      <c r="E169" s="9"/>
    </row>
    <row r="170" spans="1:5" x14ac:dyDescent="0.3">
      <c r="A170" s="23"/>
      <c r="B170" s="23"/>
      <c r="C170" s="9"/>
      <c r="D170" s="9"/>
      <c r="E170" s="9"/>
    </row>
    <row r="171" spans="1:5" x14ac:dyDescent="0.3">
      <c r="A171" s="23"/>
      <c r="B171" s="23"/>
      <c r="C171" s="9"/>
      <c r="D171" s="9"/>
      <c r="E171" s="9"/>
    </row>
    <row r="172" spans="1:5" x14ac:dyDescent="0.3">
      <c r="A172" s="23"/>
      <c r="B172" s="23"/>
      <c r="C172" s="9"/>
      <c r="D172" s="9"/>
      <c r="E172" s="9"/>
    </row>
    <row r="173" spans="1:5" x14ac:dyDescent="0.3">
      <c r="A173" s="23"/>
      <c r="B173" s="23"/>
      <c r="C173" s="9"/>
      <c r="D173" s="9"/>
      <c r="E173" s="9"/>
    </row>
    <row r="174" spans="1:5" x14ac:dyDescent="0.3">
      <c r="A174" s="23"/>
      <c r="B174" s="23"/>
      <c r="C174" s="9"/>
      <c r="D174" s="9"/>
      <c r="E174" s="9"/>
    </row>
    <row r="175" spans="1:5" x14ac:dyDescent="0.3">
      <c r="A175" s="23"/>
      <c r="B175" s="23"/>
      <c r="C175" s="9"/>
      <c r="D175" s="9"/>
      <c r="E175" s="9"/>
    </row>
    <row r="176" spans="1:5" x14ac:dyDescent="0.3">
      <c r="A176" s="23"/>
      <c r="B176" s="23"/>
      <c r="C176" s="9"/>
      <c r="D176" s="9"/>
      <c r="E176" s="9"/>
    </row>
    <row r="177" spans="1:5" x14ac:dyDescent="0.3">
      <c r="A177" s="23"/>
      <c r="B177" s="23"/>
      <c r="C177" s="9"/>
      <c r="D177" s="9"/>
      <c r="E177" s="9"/>
    </row>
    <row r="178" spans="1:5" x14ac:dyDescent="0.3">
      <c r="A178" s="23"/>
      <c r="B178" s="23"/>
      <c r="C178" s="9"/>
      <c r="D178" s="9"/>
      <c r="E178" s="9"/>
    </row>
    <row r="179" spans="1:5" x14ac:dyDescent="0.3">
      <c r="A179" s="23"/>
      <c r="B179" s="23"/>
      <c r="C179" s="9"/>
      <c r="D179" s="9"/>
      <c r="E179" s="9"/>
    </row>
    <row r="180" spans="1:5" x14ac:dyDescent="0.3">
      <c r="A180" s="23"/>
      <c r="B180" s="23"/>
      <c r="C180" s="9"/>
      <c r="D180" s="9"/>
      <c r="E180" s="9"/>
    </row>
    <row r="181" spans="1:5" x14ac:dyDescent="0.3">
      <c r="A181" s="23"/>
      <c r="B181" s="23"/>
      <c r="C181" s="9"/>
      <c r="D181" s="9"/>
      <c r="E181" s="9"/>
    </row>
    <row r="182" spans="1:5" x14ac:dyDescent="0.3">
      <c r="A182" s="23"/>
      <c r="B182" s="23"/>
      <c r="C182" s="9"/>
      <c r="D182" s="9"/>
      <c r="E182" s="9"/>
    </row>
    <row r="183" spans="1:5" x14ac:dyDescent="0.3">
      <c r="A183" s="23"/>
      <c r="B183" s="23"/>
      <c r="C183" s="9"/>
      <c r="D183" s="9"/>
      <c r="E183" s="9"/>
    </row>
    <row r="184" spans="1:5" x14ac:dyDescent="0.3">
      <c r="A184" s="23"/>
      <c r="B184" s="23"/>
      <c r="C184" s="9"/>
      <c r="D184" s="9"/>
      <c r="E184" s="9"/>
    </row>
    <row r="185" spans="1:5" x14ac:dyDescent="0.3">
      <c r="A185" s="23"/>
      <c r="B185" s="23"/>
      <c r="C185" s="9"/>
      <c r="D185" s="9"/>
      <c r="E185" s="9"/>
    </row>
    <row r="186" spans="1:5" x14ac:dyDescent="0.3">
      <c r="A186" s="23"/>
      <c r="B186" s="23"/>
      <c r="C186" s="9"/>
      <c r="D186" s="9"/>
      <c r="E186" s="9"/>
    </row>
    <row r="187" spans="1:5" x14ac:dyDescent="0.3">
      <c r="A187" s="23"/>
      <c r="B187" s="23"/>
      <c r="C187" s="9"/>
      <c r="D187" s="9"/>
      <c r="E187" s="9"/>
    </row>
    <row r="188" spans="1:5" x14ac:dyDescent="0.3">
      <c r="A188" s="23"/>
      <c r="B188" s="23"/>
      <c r="C188" s="9"/>
      <c r="D188" s="9"/>
      <c r="E188" s="9"/>
    </row>
    <row r="189" spans="1:5" x14ac:dyDescent="0.3">
      <c r="A189" s="23"/>
      <c r="B189" s="23"/>
      <c r="C189" s="9"/>
      <c r="D189" s="9"/>
      <c r="E189" s="9"/>
    </row>
  </sheetData>
  <phoneticPr fontId="0" type="noConversion"/>
  <printOptions horizontalCentered="1" gridLinesSet="0"/>
  <pageMargins left="0.25" right="0.25" top="0.5" bottom="0.5" header="0.5" footer="0.5"/>
  <pageSetup scale="68" orientation="portrait" r:id="rId1"/>
  <headerFooter alignWithMargins="0">
    <oddFooter>&amp;L&amp;F&amp;C&amp;P-1 of &amp;N-1</oddFooter>
  </headerFooter>
  <rowBreaks count="1" manualBreakCount="1">
    <brk id="50"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8DDE5-5E94-4F01-BF0D-53AE35D122F7}">
  <dimension ref="A1:S249"/>
  <sheetViews>
    <sheetView topLeftCell="A43" zoomScaleNormal="100" workbookViewId="0">
      <selection activeCell="T11" sqref="T11"/>
    </sheetView>
  </sheetViews>
  <sheetFormatPr defaultRowHeight="13.2" x14ac:dyDescent="0.25"/>
  <cols>
    <col min="1" max="1" width="9.81640625" style="132" customWidth="1"/>
    <col min="2" max="2" width="15" style="132" customWidth="1"/>
    <col min="3" max="3" width="15.08984375" style="132" customWidth="1"/>
    <col min="4" max="4" width="10.453125" style="132" customWidth="1"/>
    <col min="5" max="5" width="9.6328125" style="132" customWidth="1"/>
    <col min="6" max="256" width="8.90625" style="132"/>
    <col min="257" max="257" width="9.81640625" style="132" customWidth="1"/>
    <col min="258" max="258" width="15" style="132" customWidth="1"/>
    <col min="259" max="259" width="15.08984375" style="132" customWidth="1"/>
    <col min="260" max="260" width="10.453125" style="132" customWidth="1"/>
    <col min="261" max="261" width="9.6328125" style="132" customWidth="1"/>
    <col min="262" max="512" width="8.90625" style="132"/>
    <col min="513" max="513" width="9.81640625" style="132" customWidth="1"/>
    <col min="514" max="514" width="15" style="132" customWidth="1"/>
    <col min="515" max="515" width="15.08984375" style="132" customWidth="1"/>
    <col min="516" max="516" width="10.453125" style="132" customWidth="1"/>
    <col min="517" max="517" width="9.6328125" style="132" customWidth="1"/>
    <col min="518" max="768" width="8.90625" style="132"/>
    <col min="769" max="769" width="9.81640625" style="132" customWidth="1"/>
    <col min="770" max="770" width="15" style="132" customWidth="1"/>
    <col min="771" max="771" width="15.08984375" style="132" customWidth="1"/>
    <col min="772" max="772" width="10.453125" style="132" customWidth="1"/>
    <col min="773" max="773" width="9.6328125" style="132" customWidth="1"/>
    <col min="774" max="1024" width="8.90625" style="132"/>
    <col min="1025" max="1025" width="9.81640625" style="132" customWidth="1"/>
    <col min="1026" max="1026" width="15" style="132" customWidth="1"/>
    <col min="1027" max="1027" width="15.08984375" style="132" customWidth="1"/>
    <col min="1028" max="1028" width="10.453125" style="132" customWidth="1"/>
    <col min="1029" max="1029" width="9.6328125" style="132" customWidth="1"/>
    <col min="1030" max="1280" width="8.90625" style="132"/>
    <col min="1281" max="1281" width="9.81640625" style="132" customWidth="1"/>
    <col min="1282" max="1282" width="15" style="132" customWidth="1"/>
    <col min="1283" max="1283" width="15.08984375" style="132" customWidth="1"/>
    <col min="1284" max="1284" width="10.453125" style="132" customWidth="1"/>
    <col min="1285" max="1285" width="9.6328125" style="132" customWidth="1"/>
    <col min="1286" max="1536" width="8.90625" style="132"/>
    <col min="1537" max="1537" width="9.81640625" style="132" customWidth="1"/>
    <col min="1538" max="1538" width="15" style="132" customWidth="1"/>
    <col min="1539" max="1539" width="15.08984375" style="132" customWidth="1"/>
    <col min="1540" max="1540" width="10.453125" style="132" customWidth="1"/>
    <col min="1541" max="1541" width="9.6328125" style="132" customWidth="1"/>
    <col min="1542" max="1792" width="8.90625" style="132"/>
    <col min="1793" max="1793" width="9.81640625" style="132" customWidth="1"/>
    <col min="1794" max="1794" width="15" style="132" customWidth="1"/>
    <col min="1795" max="1795" width="15.08984375" style="132" customWidth="1"/>
    <col min="1796" max="1796" width="10.453125" style="132" customWidth="1"/>
    <col min="1797" max="1797" width="9.6328125" style="132" customWidth="1"/>
    <col min="1798" max="2048" width="8.90625" style="132"/>
    <col min="2049" max="2049" width="9.81640625" style="132" customWidth="1"/>
    <col min="2050" max="2050" width="15" style="132" customWidth="1"/>
    <col min="2051" max="2051" width="15.08984375" style="132" customWidth="1"/>
    <col min="2052" max="2052" width="10.453125" style="132" customWidth="1"/>
    <col min="2053" max="2053" width="9.6328125" style="132" customWidth="1"/>
    <col min="2054" max="2304" width="8.90625" style="132"/>
    <col min="2305" max="2305" width="9.81640625" style="132" customWidth="1"/>
    <col min="2306" max="2306" width="15" style="132" customWidth="1"/>
    <col min="2307" max="2307" width="15.08984375" style="132" customWidth="1"/>
    <col min="2308" max="2308" width="10.453125" style="132" customWidth="1"/>
    <col min="2309" max="2309" width="9.6328125" style="132" customWidth="1"/>
    <col min="2310" max="2560" width="8.90625" style="132"/>
    <col min="2561" max="2561" width="9.81640625" style="132" customWidth="1"/>
    <col min="2562" max="2562" width="15" style="132" customWidth="1"/>
    <col min="2563" max="2563" width="15.08984375" style="132" customWidth="1"/>
    <col min="2564" max="2564" width="10.453125" style="132" customWidth="1"/>
    <col min="2565" max="2565" width="9.6328125" style="132" customWidth="1"/>
    <col min="2566" max="2816" width="8.90625" style="132"/>
    <col min="2817" max="2817" width="9.81640625" style="132" customWidth="1"/>
    <col min="2818" max="2818" width="15" style="132" customWidth="1"/>
    <col min="2819" max="2819" width="15.08984375" style="132" customWidth="1"/>
    <col min="2820" max="2820" width="10.453125" style="132" customWidth="1"/>
    <col min="2821" max="2821" width="9.6328125" style="132" customWidth="1"/>
    <col min="2822" max="3072" width="8.90625" style="132"/>
    <col min="3073" max="3073" width="9.81640625" style="132" customWidth="1"/>
    <col min="3074" max="3074" width="15" style="132" customWidth="1"/>
    <col min="3075" max="3075" width="15.08984375" style="132" customWidth="1"/>
    <col min="3076" max="3076" width="10.453125" style="132" customWidth="1"/>
    <col min="3077" max="3077" width="9.6328125" style="132" customWidth="1"/>
    <col min="3078" max="3328" width="8.90625" style="132"/>
    <col min="3329" max="3329" width="9.81640625" style="132" customWidth="1"/>
    <col min="3330" max="3330" width="15" style="132" customWidth="1"/>
    <col min="3331" max="3331" width="15.08984375" style="132" customWidth="1"/>
    <col min="3332" max="3332" width="10.453125" style="132" customWidth="1"/>
    <col min="3333" max="3333" width="9.6328125" style="132" customWidth="1"/>
    <col min="3334" max="3584" width="8.90625" style="132"/>
    <col min="3585" max="3585" width="9.81640625" style="132" customWidth="1"/>
    <col min="3586" max="3586" width="15" style="132" customWidth="1"/>
    <col min="3587" max="3587" width="15.08984375" style="132" customWidth="1"/>
    <col min="3588" max="3588" width="10.453125" style="132" customWidth="1"/>
    <col min="3589" max="3589" width="9.6328125" style="132" customWidth="1"/>
    <col min="3590" max="3840" width="8.90625" style="132"/>
    <col min="3841" max="3841" width="9.81640625" style="132" customWidth="1"/>
    <col min="3842" max="3842" width="15" style="132" customWidth="1"/>
    <col min="3843" max="3843" width="15.08984375" style="132" customWidth="1"/>
    <col min="3844" max="3844" width="10.453125" style="132" customWidth="1"/>
    <col min="3845" max="3845" width="9.6328125" style="132" customWidth="1"/>
    <col min="3846" max="4096" width="8.90625" style="132"/>
    <col min="4097" max="4097" width="9.81640625" style="132" customWidth="1"/>
    <col min="4098" max="4098" width="15" style="132" customWidth="1"/>
    <col min="4099" max="4099" width="15.08984375" style="132" customWidth="1"/>
    <col min="4100" max="4100" width="10.453125" style="132" customWidth="1"/>
    <col min="4101" max="4101" width="9.6328125" style="132" customWidth="1"/>
    <col min="4102" max="4352" width="8.90625" style="132"/>
    <col min="4353" max="4353" width="9.81640625" style="132" customWidth="1"/>
    <col min="4354" max="4354" width="15" style="132" customWidth="1"/>
    <col min="4355" max="4355" width="15.08984375" style="132" customWidth="1"/>
    <col min="4356" max="4356" width="10.453125" style="132" customWidth="1"/>
    <col min="4357" max="4357" width="9.6328125" style="132" customWidth="1"/>
    <col min="4358" max="4608" width="8.90625" style="132"/>
    <col min="4609" max="4609" width="9.81640625" style="132" customWidth="1"/>
    <col min="4610" max="4610" width="15" style="132" customWidth="1"/>
    <col min="4611" max="4611" width="15.08984375" style="132" customWidth="1"/>
    <col min="4612" max="4612" width="10.453125" style="132" customWidth="1"/>
    <col min="4613" max="4613" width="9.6328125" style="132" customWidth="1"/>
    <col min="4614" max="4864" width="8.90625" style="132"/>
    <col min="4865" max="4865" width="9.81640625" style="132" customWidth="1"/>
    <col min="4866" max="4866" width="15" style="132" customWidth="1"/>
    <col min="4867" max="4867" width="15.08984375" style="132" customWidth="1"/>
    <col min="4868" max="4868" width="10.453125" style="132" customWidth="1"/>
    <col min="4869" max="4869" width="9.6328125" style="132" customWidth="1"/>
    <col min="4870" max="5120" width="8.90625" style="132"/>
    <col min="5121" max="5121" width="9.81640625" style="132" customWidth="1"/>
    <col min="5122" max="5122" width="15" style="132" customWidth="1"/>
    <col min="5123" max="5123" width="15.08984375" style="132" customWidth="1"/>
    <col min="5124" max="5124" width="10.453125" style="132" customWidth="1"/>
    <col min="5125" max="5125" width="9.6328125" style="132" customWidth="1"/>
    <col min="5126" max="5376" width="8.90625" style="132"/>
    <col min="5377" max="5377" width="9.81640625" style="132" customWidth="1"/>
    <col min="5378" max="5378" width="15" style="132" customWidth="1"/>
    <col min="5379" max="5379" width="15.08984375" style="132" customWidth="1"/>
    <col min="5380" max="5380" width="10.453125" style="132" customWidth="1"/>
    <col min="5381" max="5381" width="9.6328125" style="132" customWidth="1"/>
    <col min="5382" max="5632" width="8.90625" style="132"/>
    <col min="5633" max="5633" width="9.81640625" style="132" customWidth="1"/>
    <col min="5634" max="5634" width="15" style="132" customWidth="1"/>
    <col min="5635" max="5635" width="15.08984375" style="132" customWidth="1"/>
    <col min="5636" max="5636" width="10.453125" style="132" customWidth="1"/>
    <col min="5637" max="5637" width="9.6328125" style="132" customWidth="1"/>
    <col min="5638" max="5888" width="8.90625" style="132"/>
    <col min="5889" max="5889" width="9.81640625" style="132" customWidth="1"/>
    <col min="5890" max="5890" width="15" style="132" customWidth="1"/>
    <col min="5891" max="5891" width="15.08984375" style="132" customWidth="1"/>
    <col min="5892" max="5892" width="10.453125" style="132" customWidth="1"/>
    <col min="5893" max="5893" width="9.6328125" style="132" customWidth="1"/>
    <col min="5894" max="6144" width="8.90625" style="132"/>
    <col min="6145" max="6145" width="9.81640625" style="132" customWidth="1"/>
    <col min="6146" max="6146" width="15" style="132" customWidth="1"/>
    <col min="6147" max="6147" width="15.08984375" style="132" customWidth="1"/>
    <col min="6148" max="6148" width="10.453125" style="132" customWidth="1"/>
    <col min="6149" max="6149" width="9.6328125" style="132" customWidth="1"/>
    <col min="6150" max="6400" width="8.90625" style="132"/>
    <col min="6401" max="6401" width="9.81640625" style="132" customWidth="1"/>
    <col min="6402" max="6402" width="15" style="132" customWidth="1"/>
    <col min="6403" max="6403" width="15.08984375" style="132" customWidth="1"/>
    <col min="6404" max="6404" width="10.453125" style="132" customWidth="1"/>
    <col min="6405" max="6405" width="9.6328125" style="132" customWidth="1"/>
    <col min="6406" max="6656" width="8.90625" style="132"/>
    <col min="6657" max="6657" width="9.81640625" style="132" customWidth="1"/>
    <col min="6658" max="6658" width="15" style="132" customWidth="1"/>
    <col min="6659" max="6659" width="15.08984375" style="132" customWidth="1"/>
    <col min="6660" max="6660" width="10.453125" style="132" customWidth="1"/>
    <col min="6661" max="6661" width="9.6328125" style="132" customWidth="1"/>
    <col min="6662" max="6912" width="8.90625" style="132"/>
    <col min="6913" max="6913" width="9.81640625" style="132" customWidth="1"/>
    <col min="6914" max="6914" width="15" style="132" customWidth="1"/>
    <col min="6915" max="6915" width="15.08984375" style="132" customWidth="1"/>
    <col min="6916" max="6916" width="10.453125" style="132" customWidth="1"/>
    <col min="6917" max="6917" width="9.6328125" style="132" customWidth="1"/>
    <col min="6918" max="7168" width="8.90625" style="132"/>
    <col min="7169" max="7169" width="9.81640625" style="132" customWidth="1"/>
    <col min="7170" max="7170" width="15" style="132" customWidth="1"/>
    <col min="7171" max="7171" width="15.08984375" style="132" customWidth="1"/>
    <col min="7172" max="7172" width="10.453125" style="132" customWidth="1"/>
    <col min="7173" max="7173" width="9.6328125" style="132" customWidth="1"/>
    <col min="7174" max="7424" width="8.90625" style="132"/>
    <col min="7425" max="7425" width="9.81640625" style="132" customWidth="1"/>
    <col min="7426" max="7426" width="15" style="132" customWidth="1"/>
    <col min="7427" max="7427" width="15.08984375" style="132" customWidth="1"/>
    <col min="7428" max="7428" width="10.453125" style="132" customWidth="1"/>
    <col min="7429" max="7429" width="9.6328125" style="132" customWidth="1"/>
    <col min="7430" max="7680" width="8.90625" style="132"/>
    <col min="7681" max="7681" width="9.81640625" style="132" customWidth="1"/>
    <col min="7682" max="7682" width="15" style="132" customWidth="1"/>
    <col min="7683" max="7683" width="15.08984375" style="132" customWidth="1"/>
    <col min="7684" max="7684" width="10.453125" style="132" customWidth="1"/>
    <col min="7685" max="7685" width="9.6328125" style="132" customWidth="1"/>
    <col min="7686" max="7936" width="8.90625" style="132"/>
    <col min="7937" max="7937" width="9.81640625" style="132" customWidth="1"/>
    <col min="7938" max="7938" width="15" style="132" customWidth="1"/>
    <col min="7939" max="7939" width="15.08984375" style="132" customWidth="1"/>
    <col min="7940" max="7940" width="10.453125" style="132" customWidth="1"/>
    <col min="7941" max="7941" width="9.6328125" style="132" customWidth="1"/>
    <col min="7942" max="8192" width="8.90625" style="132"/>
    <col min="8193" max="8193" width="9.81640625" style="132" customWidth="1"/>
    <col min="8194" max="8194" width="15" style="132" customWidth="1"/>
    <col min="8195" max="8195" width="15.08984375" style="132" customWidth="1"/>
    <col min="8196" max="8196" width="10.453125" style="132" customWidth="1"/>
    <col min="8197" max="8197" width="9.6328125" style="132" customWidth="1"/>
    <col min="8198" max="8448" width="8.90625" style="132"/>
    <col min="8449" max="8449" width="9.81640625" style="132" customWidth="1"/>
    <col min="8450" max="8450" width="15" style="132" customWidth="1"/>
    <col min="8451" max="8451" width="15.08984375" style="132" customWidth="1"/>
    <col min="8452" max="8452" width="10.453125" style="132" customWidth="1"/>
    <col min="8453" max="8453" width="9.6328125" style="132" customWidth="1"/>
    <col min="8454" max="8704" width="8.90625" style="132"/>
    <col min="8705" max="8705" width="9.81640625" style="132" customWidth="1"/>
    <col min="8706" max="8706" width="15" style="132" customWidth="1"/>
    <col min="8707" max="8707" width="15.08984375" style="132" customWidth="1"/>
    <col min="8708" max="8708" width="10.453125" style="132" customWidth="1"/>
    <col min="8709" max="8709" width="9.6328125" style="132" customWidth="1"/>
    <col min="8710" max="8960" width="8.90625" style="132"/>
    <col min="8961" max="8961" width="9.81640625" style="132" customWidth="1"/>
    <col min="8962" max="8962" width="15" style="132" customWidth="1"/>
    <col min="8963" max="8963" width="15.08984375" style="132" customWidth="1"/>
    <col min="8964" max="8964" width="10.453125" style="132" customWidth="1"/>
    <col min="8965" max="8965" width="9.6328125" style="132" customWidth="1"/>
    <col min="8966" max="9216" width="8.90625" style="132"/>
    <col min="9217" max="9217" width="9.81640625" style="132" customWidth="1"/>
    <col min="9218" max="9218" width="15" style="132" customWidth="1"/>
    <col min="9219" max="9219" width="15.08984375" style="132" customWidth="1"/>
    <col min="9220" max="9220" width="10.453125" style="132" customWidth="1"/>
    <col min="9221" max="9221" width="9.6328125" style="132" customWidth="1"/>
    <col min="9222" max="9472" width="8.90625" style="132"/>
    <col min="9473" max="9473" width="9.81640625" style="132" customWidth="1"/>
    <col min="9474" max="9474" width="15" style="132" customWidth="1"/>
    <col min="9475" max="9475" width="15.08984375" style="132" customWidth="1"/>
    <col min="9476" max="9476" width="10.453125" style="132" customWidth="1"/>
    <col min="9477" max="9477" width="9.6328125" style="132" customWidth="1"/>
    <col min="9478" max="9728" width="8.90625" style="132"/>
    <col min="9729" max="9729" width="9.81640625" style="132" customWidth="1"/>
    <col min="9730" max="9730" width="15" style="132" customWidth="1"/>
    <col min="9731" max="9731" width="15.08984375" style="132" customWidth="1"/>
    <col min="9732" max="9732" width="10.453125" style="132" customWidth="1"/>
    <col min="9733" max="9733" width="9.6328125" style="132" customWidth="1"/>
    <col min="9734" max="9984" width="8.90625" style="132"/>
    <col min="9985" max="9985" width="9.81640625" style="132" customWidth="1"/>
    <col min="9986" max="9986" width="15" style="132" customWidth="1"/>
    <col min="9987" max="9987" width="15.08984375" style="132" customWidth="1"/>
    <col min="9988" max="9988" width="10.453125" style="132" customWidth="1"/>
    <col min="9989" max="9989" width="9.6328125" style="132" customWidth="1"/>
    <col min="9990" max="10240" width="8.90625" style="132"/>
    <col min="10241" max="10241" width="9.81640625" style="132" customWidth="1"/>
    <col min="10242" max="10242" width="15" style="132" customWidth="1"/>
    <col min="10243" max="10243" width="15.08984375" style="132" customWidth="1"/>
    <col min="10244" max="10244" width="10.453125" style="132" customWidth="1"/>
    <col min="10245" max="10245" width="9.6328125" style="132" customWidth="1"/>
    <col min="10246" max="10496" width="8.90625" style="132"/>
    <col min="10497" max="10497" width="9.81640625" style="132" customWidth="1"/>
    <col min="10498" max="10498" width="15" style="132" customWidth="1"/>
    <col min="10499" max="10499" width="15.08984375" style="132" customWidth="1"/>
    <col min="10500" max="10500" width="10.453125" style="132" customWidth="1"/>
    <col min="10501" max="10501" width="9.6328125" style="132" customWidth="1"/>
    <col min="10502" max="10752" width="8.90625" style="132"/>
    <col min="10753" max="10753" width="9.81640625" style="132" customWidth="1"/>
    <col min="10754" max="10754" width="15" style="132" customWidth="1"/>
    <col min="10755" max="10755" width="15.08984375" style="132" customWidth="1"/>
    <col min="10756" max="10756" width="10.453125" style="132" customWidth="1"/>
    <col min="10757" max="10757" width="9.6328125" style="132" customWidth="1"/>
    <col min="10758" max="11008" width="8.90625" style="132"/>
    <col min="11009" max="11009" width="9.81640625" style="132" customWidth="1"/>
    <col min="11010" max="11010" width="15" style="132" customWidth="1"/>
    <col min="11011" max="11011" width="15.08984375" style="132" customWidth="1"/>
    <col min="11012" max="11012" width="10.453125" style="132" customWidth="1"/>
    <col min="11013" max="11013" width="9.6328125" style="132" customWidth="1"/>
    <col min="11014" max="11264" width="8.90625" style="132"/>
    <col min="11265" max="11265" width="9.81640625" style="132" customWidth="1"/>
    <col min="11266" max="11266" width="15" style="132" customWidth="1"/>
    <col min="11267" max="11267" width="15.08984375" style="132" customWidth="1"/>
    <col min="11268" max="11268" width="10.453125" style="132" customWidth="1"/>
    <col min="11269" max="11269" width="9.6328125" style="132" customWidth="1"/>
    <col min="11270" max="11520" width="8.90625" style="132"/>
    <col min="11521" max="11521" width="9.81640625" style="132" customWidth="1"/>
    <col min="11522" max="11522" width="15" style="132" customWidth="1"/>
    <col min="11523" max="11523" width="15.08984375" style="132" customWidth="1"/>
    <col min="11524" max="11524" width="10.453125" style="132" customWidth="1"/>
    <col min="11525" max="11525" width="9.6328125" style="132" customWidth="1"/>
    <col min="11526" max="11776" width="8.90625" style="132"/>
    <col min="11777" max="11777" width="9.81640625" style="132" customWidth="1"/>
    <col min="11778" max="11778" width="15" style="132" customWidth="1"/>
    <col min="11779" max="11779" width="15.08984375" style="132" customWidth="1"/>
    <col min="11780" max="11780" width="10.453125" style="132" customWidth="1"/>
    <col min="11781" max="11781" width="9.6328125" style="132" customWidth="1"/>
    <col min="11782" max="12032" width="8.90625" style="132"/>
    <col min="12033" max="12033" width="9.81640625" style="132" customWidth="1"/>
    <col min="12034" max="12034" width="15" style="132" customWidth="1"/>
    <col min="12035" max="12035" width="15.08984375" style="132" customWidth="1"/>
    <col min="12036" max="12036" width="10.453125" style="132" customWidth="1"/>
    <col min="12037" max="12037" width="9.6328125" style="132" customWidth="1"/>
    <col min="12038" max="12288" width="8.90625" style="132"/>
    <col min="12289" max="12289" width="9.81640625" style="132" customWidth="1"/>
    <col min="12290" max="12290" width="15" style="132" customWidth="1"/>
    <col min="12291" max="12291" width="15.08984375" style="132" customWidth="1"/>
    <col min="12292" max="12292" width="10.453125" style="132" customWidth="1"/>
    <col min="12293" max="12293" width="9.6328125" style="132" customWidth="1"/>
    <col min="12294" max="12544" width="8.90625" style="132"/>
    <col min="12545" max="12545" width="9.81640625" style="132" customWidth="1"/>
    <col min="12546" max="12546" width="15" style="132" customWidth="1"/>
    <col min="12547" max="12547" width="15.08984375" style="132" customWidth="1"/>
    <col min="12548" max="12548" width="10.453125" style="132" customWidth="1"/>
    <col min="12549" max="12549" width="9.6328125" style="132" customWidth="1"/>
    <col min="12550" max="12800" width="8.90625" style="132"/>
    <col min="12801" max="12801" width="9.81640625" style="132" customWidth="1"/>
    <col min="12802" max="12802" width="15" style="132" customWidth="1"/>
    <col min="12803" max="12803" width="15.08984375" style="132" customWidth="1"/>
    <col min="12804" max="12804" width="10.453125" style="132" customWidth="1"/>
    <col min="12805" max="12805" width="9.6328125" style="132" customWidth="1"/>
    <col min="12806" max="13056" width="8.90625" style="132"/>
    <col min="13057" max="13057" width="9.81640625" style="132" customWidth="1"/>
    <col min="13058" max="13058" width="15" style="132" customWidth="1"/>
    <col min="13059" max="13059" width="15.08984375" style="132" customWidth="1"/>
    <col min="13060" max="13060" width="10.453125" style="132" customWidth="1"/>
    <col min="13061" max="13061" width="9.6328125" style="132" customWidth="1"/>
    <col min="13062" max="13312" width="8.90625" style="132"/>
    <col min="13313" max="13313" width="9.81640625" style="132" customWidth="1"/>
    <col min="13314" max="13314" width="15" style="132" customWidth="1"/>
    <col min="13315" max="13315" width="15.08984375" style="132" customWidth="1"/>
    <col min="13316" max="13316" width="10.453125" style="132" customWidth="1"/>
    <col min="13317" max="13317" width="9.6328125" style="132" customWidth="1"/>
    <col min="13318" max="13568" width="8.90625" style="132"/>
    <col min="13569" max="13569" width="9.81640625" style="132" customWidth="1"/>
    <col min="13570" max="13570" width="15" style="132" customWidth="1"/>
    <col min="13571" max="13571" width="15.08984375" style="132" customWidth="1"/>
    <col min="13572" max="13572" width="10.453125" style="132" customWidth="1"/>
    <col min="13573" max="13573" width="9.6328125" style="132" customWidth="1"/>
    <col min="13574" max="13824" width="8.90625" style="132"/>
    <col min="13825" max="13825" width="9.81640625" style="132" customWidth="1"/>
    <col min="13826" max="13826" width="15" style="132" customWidth="1"/>
    <col min="13827" max="13827" width="15.08984375" style="132" customWidth="1"/>
    <col min="13828" max="13828" width="10.453125" style="132" customWidth="1"/>
    <col min="13829" max="13829" width="9.6328125" style="132" customWidth="1"/>
    <col min="13830" max="14080" width="8.90625" style="132"/>
    <col min="14081" max="14081" width="9.81640625" style="132" customWidth="1"/>
    <col min="14082" max="14082" width="15" style="132" customWidth="1"/>
    <col min="14083" max="14083" width="15.08984375" style="132" customWidth="1"/>
    <col min="14084" max="14084" width="10.453125" style="132" customWidth="1"/>
    <col min="14085" max="14085" width="9.6328125" style="132" customWidth="1"/>
    <col min="14086" max="14336" width="8.90625" style="132"/>
    <col min="14337" max="14337" width="9.81640625" style="132" customWidth="1"/>
    <col min="14338" max="14338" width="15" style="132" customWidth="1"/>
    <col min="14339" max="14339" width="15.08984375" style="132" customWidth="1"/>
    <col min="14340" max="14340" width="10.453125" style="132" customWidth="1"/>
    <col min="14341" max="14341" width="9.6328125" style="132" customWidth="1"/>
    <col min="14342" max="14592" width="8.90625" style="132"/>
    <col min="14593" max="14593" width="9.81640625" style="132" customWidth="1"/>
    <col min="14594" max="14594" width="15" style="132" customWidth="1"/>
    <col min="14595" max="14595" width="15.08984375" style="132" customWidth="1"/>
    <col min="14596" max="14596" width="10.453125" style="132" customWidth="1"/>
    <col min="14597" max="14597" width="9.6328125" style="132" customWidth="1"/>
    <col min="14598" max="14848" width="8.90625" style="132"/>
    <col min="14849" max="14849" width="9.81640625" style="132" customWidth="1"/>
    <col min="14850" max="14850" width="15" style="132" customWidth="1"/>
    <col min="14851" max="14851" width="15.08984375" style="132" customWidth="1"/>
    <col min="14852" max="14852" width="10.453125" style="132" customWidth="1"/>
    <col min="14853" max="14853" width="9.6328125" style="132" customWidth="1"/>
    <col min="14854" max="15104" width="8.90625" style="132"/>
    <col min="15105" max="15105" width="9.81640625" style="132" customWidth="1"/>
    <col min="15106" max="15106" width="15" style="132" customWidth="1"/>
    <col min="15107" max="15107" width="15.08984375" style="132" customWidth="1"/>
    <col min="15108" max="15108" width="10.453125" style="132" customWidth="1"/>
    <col min="15109" max="15109" width="9.6328125" style="132" customWidth="1"/>
    <col min="15110" max="15360" width="8.90625" style="132"/>
    <col min="15361" max="15361" width="9.81640625" style="132" customWidth="1"/>
    <col min="15362" max="15362" width="15" style="132" customWidth="1"/>
    <col min="15363" max="15363" width="15.08984375" style="132" customWidth="1"/>
    <col min="15364" max="15364" width="10.453125" style="132" customWidth="1"/>
    <col min="15365" max="15365" width="9.6328125" style="132" customWidth="1"/>
    <col min="15366" max="15616" width="8.90625" style="132"/>
    <col min="15617" max="15617" width="9.81640625" style="132" customWidth="1"/>
    <col min="15618" max="15618" width="15" style="132" customWidth="1"/>
    <col min="15619" max="15619" width="15.08984375" style="132" customWidth="1"/>
    <col min="15620" max="15620" width="10.453125" style="132" customWidth="1"/>
    <col min="15621" max="15621" width="9.6328125" style="132" customWidth="1"/>
    <col min="15622" max="15872" width="8.90625" style="132"/>
    <col min="15873" max="15873" width="9.81640625" style="132" customWidth="1"/>
    <col min="15874" max="15874" width="15" style="132" customWidth="1"/>
    <col min="15875" max="15875" width="15.08984375" style="132" customWidth="1"/>
    <col min="15876" max="15876" width="10.453125" style="132" customWidth="1"/>
    <col min="15877" max="15877" width="9.6328125" style="132" customWidth="1"/>
    <col min="15878" max="16128" width="8.90625" style="132"/>
    <col min="16129" max="16129" width="9.81640625" style="132" customWidth="1"/>
    <col min="16130" max="16130" width="15" style="132" customWidth="1"/>
    <col min="16131" max="16131" width="15.08984375" style="132" customWidth="1"/>
    <col min="16132" max="16132" width="10.453125" style="132" customWidth="1"/>
    <col min="16133" max="16133" width="9.6328125" style="132" customWidth="1"/>
    <col min="16134" max="16384" width="8.90625" style="132"/>
  </cols>
  <sheetData>
    <row r="1" spans="1:19" x14ac:dyDescent="0.25">
      <c r="A1" s="640"/>
      <c r="B1" s="640"/>
      <c r="C1" s="640"/>
      <c r="D1" s="640"/>
      <c r="E1" s="640"/>
    </row>
    <row r="2" spans="1:19" ht="13.8" x14ac:dyDescent="0.3">
      <c r="A2" s="484"/>
      <c r="B2" s="484"/>
      <c r="C2" s="484"/>
      <c r="D2" s="484"/>
      <c r="E2" s="484"/>
      <c r="F2" s="484"/>
      <c r="G2" s="484"/>
      <c r="H2" s="484"/>
      <c r="I2" s="484"/>
      <c r="J2" s="484"/>
      <c r="K2" s="484"/>
      <c r="L2" s="484"/>
      <c r="M2" s="484"/>
      <c r="N2" s="484"/>
      <c r="O2" s="484"/>
      <c r="P2" s="484"/>
      <c r="Q2" s="484"/>
      <c r="R2" s="484"/>
      <c r="S2" s="484"/>
    </row>
    <row r="3" spans="1:19" ht="21" x14ac:dyDescent="0.3">
      <c r="A3" s="641" t="s">
        <v>331</v>
      </c>
      <c r="B3" s="641"/>
      <c r="C3" s="641"/>
      <c r="D3" s="641"/>
      <c r="E3" s="641"/>
      <c r="F3" s="573"/>
      <c r="G3" s="573"/>
      <c r="H3" s="573"/>
      <c r="I3" s="573"/>
      <c r="J3" s="573"/>
      <c r="K3" s="573"/>
      <c r="L3" s="573"/>
      <c r="M3" s="484"/>
      <c r="N3" s="484"/>
      <c r="O3" s="484"/>
      <c r="P3" s="484"/>
      <c r="Q3" s="484"/>
      <c r="R3" s="484"/>
      <c r="S3" s="484"/>
    </row>
    <row r="4" spans="1:19" ht="27.75" customHeight="1" x14ac:dyDescent="0.3">
      <c r="A4" s="642"/>
      <c r="B4" s="642"/>
      <c r="C4" s="642"/>
      <c r="D4" s="642"/>
      <c r="E4" s="642"/>
      <c r="F4" s="573"/>
      <c r="G4" s="573"/>
      <c r="H4" s="573"/>
      <c r="I4" s="484" t="s">
        <v>332</v>
      </c>
      <c r="J4" s="484"/>
      <c r="K4" s="573"/>
      <c r="L4" s="573"/>
      <c r="M4" s="484"/>
      <c r="N4" s="484"/>
      <c r="O4" s="484"/>
      <c r="P4" s="484"/>
      <c r="Q4" s="484"/>
      <c r="R4" s="484"/>
      <c r="S4" s="484"/>
    </row>
    <row r="5" spans="1:19" ht="13.8" x14ac:dyDescent="0.3">
      <c r="A5" s="484"/>
      <c r="B5" s="484"/>
      <c r="C5" s="484"/>
      <c r="D5" s="484"/>
      <c r="E5" s="484"/>
      <c r="F5" s="484"/>
      <c r="G5" s="484"/>
      <c r="H5" s="484"/>
      <c r="I5" s="484">
        <v>265</v>
      </c>
      <c r="J5" s="484" t="s">
        <v>333</v>
      </c>
      <c r="K5" s="484"/>
      <c r="L5" s="484"/>
      <c r="M5" s="484"/>
      <c r="N5" s="484"/>
      <c r="O5" s="484"/>
      <c r="P5" s="484"/>
      <c r="Q5" s="484"/>
      <c r="R5" s="484"/>
      <c r="S5" s="484"/>
    </row>
    <row r="6" spans="1:19" ht="13.8" x14ac:dyDescent="0.3">
      <c r="A6" s="484"/>
      <c r="B6" s="484"/>
      <c r="C6" s="484"/>
      <c r="D6" s="484"/>
      <c r="E6" s="484"/>
      <c r="F6" s="484"/>
      <c r="G6" s="484"/>
      <c r="H6" s="484"/>
      <c r="I6" s="484">
        <v>14.2</v>
      </c>
      <c r="J6" s="484" t="s">
        <v>334</v>
      </c>
      <c r="K6" s="484"/>
      <c r="L6" s="484"/>
      <c r="M6" s="484"/>
      <c r="N6" s="484"/>
      <c r="O6" s="484"/>
      <c r="P6" s="484"/>
      <c r="Q6" s="484"/>
      <c r="R6" s="484"/>
      <c r="S6" s="484"/>
    </row>
    <row r="7" spans="1:19" ht="17.399999999999999" customHeight="1" x14ac:dyDescent="0.3">
      <c r="A7" s="485" t="s">
        <v>335</v>
      </c>
      <c r="B7" s="485"/>
      <c r="C7" s="485"/>
      <c r="D7" s="485"/>
      <c r="E7" s="485"/>
      <c r="F7" s="485"/>
      <c r="G7" s="484"/>
      <c r="H7" s="484"/>
      <c r="I7" s="486">
        <v>138000</v>
      </c>
      <c r="J7" s="484" t="s">
        <v>336</v>
      </c>
      <c r="K7" s="484"/>
      <c r="L7" s="484"/>
      <c r="M7" s="484"/>
      <c r="N7" s="484"/>
      <c r="O7" s="484"/>
      <c r="P7" s="484"/>
      <c r="Q7" s="484"/>
      <c r="R7" s="484"/>
      <c r="S7" s="484"/>
    </row>
    <row r="8" spans="1:19" ht="17.399999999999999" customHeight="1" x14ac:dyDescent="0.3">
      <c r="A8" s="485"/>
      <c r="B8" s="485"/>
      <c r="C8" s="485"/>
      <c r="D8" s="485"/>
      <c r="E8" s="485"/>
      <c r="F8" s="485"/>
      <c r="G8" s="484"/>
      <c r="H8" s="484"/>
      <c r="I8" s="486"/>
      <c r="J8" s="484"/>
      <c r="K8" s="484"/>
      <c r="L8" s="484"/>
      <c r="M8" s="484"/>
      <c r="N8" s="484"/>
      <c r="O8" s="484"/>
      <c r="P8" s="484"/>
      <c r="Q8" s="484"/>
      <c r="R8" s="484"/>
      <c r="S8" s="484"/>
    </row>
    <row r="9" spans="1:19" ht="15.6" customHeight="1" x14ac:dyDescent="0.3">
      <c r="A9" s="487"/>
      <c r="B9" s="487"/>
      <c r="C9" s="487"/>
      <c r="D9" s="487"/>
      <c r="E9" s="487"/>
      <c r="F9" s="484"/>
      <c r="G9" s="484"/>
      <c r="H9" s="484"/>
      <c r="I9" s="488">
        <f>I6*I7/1000000</f>
        <v>1.9596</v>
      </c>
      <c r="J9" s="484" t="s">
        <v>337</v>
      </c>
      <c r="K9" s="484"/>
      <c r="L9" s="484"/>
      <c r="M9" s="484"/>
      <c r="N9" s="484"/>
      <c r="O9" s="484"/>
      <c r="P9" s="484"/>
      <c r="Q9" s="484"/>
      <c r="R9" s="484"/>
      <c r="S9" s="484"/>
    </row>
    <row r="10" spans="1:19" ht="32.25" customHeight="1" x14ac:dyDescent="0.3">
      <c r="A10" s="484" t="s">
        <v>338</v>
      </c>
      <c r="B10" s="484"/>
      <c r="C10" s="484"/>
      <c r="D10" s="484"/>
      <c r="E10" s="484"/>
      <c r="F10" s="484"/>
      <c r="G10" s="484"/>
      <c r="H10" s="484"/>
      <c r="I10" s="484"/>
      <c r="J10" s="484"/>
      <c r="K10" s="484"/>
      <c r="L10" s="484"/>
      <c r="M10" s="484"/>
      <c r="N10" s="484"/>
      <c r="O10" s="484"/>
      <c r="P10" s="484"/>
      <c r="Q10" s="484"/>
      <c r="R10" s="484"/>
      <c r="S10" s="484"/>
    </row>
    <row r="11" spans="1:19" ht="36.6" customHeight="1" thickBot="1" x14ac:dyDescent="0.35">
      <c r="A11" s="489" t="s">
        <v>91</v>
      </c>
      <c r="B11" s="490" t="s">
        <v>339</v>
      </c>
      <c r="C11" s="490" t="s">
        <v>340</v>
      </c>
      <c r="D11" s="490" t="s">
        <v>341</v>
      </c>
      <c r="E11" s="489" t="s">
        <v>20</v>
      </c>
      <c r="F11" s="489" t="s">
        <v>23</v>
      </c>
      <c r="G11" s="484"/>
      <c r="H11" s="484"/>
      <c r="I11" s="484"/>
      <c r="J11" s="484"/>
      <c r="K11" s="484"/>
      <c r="L11" s="484"/>
      <c r="M11" s="484"/>
      <c r="N11" s="484"/>
      <c r="O11" s="484"/>
      <c r="P11" s="484"/>
      <c r="Q11" s="484"/>
      <c r="R11" s="484"/>
      <c r="S11" s="484"/>
    </row>
    <row r="12" spans="1:19" ht="19.5" customHeight="1" thickTop="1" x14ac:dyDescent="0.3">
      <c r="A12" s="491" t="s">
        <v>342</v>
      </c>
      <c r="B12" s="491">
        <v>6.7</v>
      </c>
      <c r="C12" s="492">
        <f>B12/453.592</f>
        <v>1.477098361523131E-2</v>
      </c>
      <c r="D12" s="491">
        <v>500</v>
      </c>
      <c r="E12" s="493">
        <f>265*C12</f>
        <v>3.914310658036297</v>
      </c>
      <c r="F12" s="493">
        <f>(D12*E12)/2000</f>
        <v>0.97857766450907424</v>
      </c>
      <c r="G12" s="484"/>
      <c r="H12" s="484"/>
      <c r="I12" s="484"/>
      <c r="J12" s="484"/>
      <c r="K12" s="484"/>
      <c r="L12" s="484"/>
      <c r="M12" s="484"/>
      <c r="N12" s="484"/>
      <c r="O12" s="484"/>
      <c r="P12" s="484"/>
      <c r="Q12" s="484"/>
      <c r="R12" s="484"/>
      <c r="S12" s="484"/>
    </row>
    <row r="13" spans="1:19" ht="19.5" customHeight="1" x14ac:dyDescent="0.3">
      <c r="A13" s="494" t="s">
        <v>143</v>
      </c>
      <c r="B13" s="494">
        <v>0.28999999999999998</v>
      </c>
      <c r="C13" s="495">
        <f t="shared" ref="C13:C16" si="0">B13/453.592</f>
        <v>6.3934108185329549E-4</v>
      </c>
      <c r="D13" s="494">
        <v>500</v>
      </c>
      <c r="E13" s="496">
        <f>265*C13</f>
        <v>0.16942538669112331</v>
      </c>
      <c r="F13" s="496">
        <f>(D13*E13)/2000</f>
        <v>4.2356346672780827E-2</v>
      </c>
      <c r="G13" s="484"/>
      <c r="H13" s="484"/>
      <c r="I13" s="484"/>
      <c r="J13" s="484"/>
      <c r="K13" s="484"/>
      <c r="L13" s="484"/>
      <c r="M13" s="484"/>
      <c r="N13" s="484"/>
      <c r="O13" s="484"/>
      <c r="P13" s="484"/>
      <c r="Q13" s="484"/>
      <c r="R13" s="484"/>
      <c r="S13" s="484"/>
    </row>
    <row r="14" spans="1:19" ht="18.75" customHeight="1" x14ac:dyDescent="0.3">
      <c r="A14" s="494" t="s">
        <v>343</v>
      </c>
      <c r="B14" s="494">
        <v>0.67</v>
      </c>
      <c r="C14" s="495">
        <f t="shared" si="0"/>
        <v>1.4770983615231311E-3</v>
      </c>
      <c r="D14" s="494">
        <v>500</v>
      </c>
      <c r="E14" s="496">
        <f>265*C14</f>
        <v>0.39143106580362974</v>
      </c>
      <c r="F14" s="496">
        <f>(D14*E14)/2000</f>
        <v>9.7857766450907435E-2</v>
      </c>
      <c r="G14" s="484"/>
      <c r="H14" s="484"/>
      <c r="I14" s="484"/>
      <c r="J14" s="484"/>
      <c r="K14" s="484"/>
      <c r="L14" s="484"/>
      <c r="M14" s="484"/>
      <c r="N14" s="484"/>
      <c r="O14" s="484"/>
      <c r="P14" s="484"/>
      <c r="Q14" s="484"/>
      <c r="R14" s="484"/>
      <c r="S14" s="484"/>
    </row>
    <row r="15" spans="1:19" ht="19.5" customHeight="1" x14ac:dyDescent="0.3">
      <c r="A15" s="494" t="s">
        <v>344</v>
      </c>
      <c r="B15" s="494">
        <v>7.0000000000000007E-2</v>
      </c>
      <c r="C15" s="495">
        <f t="shared" si="0"/>
        <v>1.5432370941286444E-4</v>
      </c>
      <c r="D15" s="494">
        <v>500</v>
      </c>
      <c r="E15" s="496">
        <f>265*C15</f>
        <v>4.0895782994409074E-2</v>
      </c>
      <c r="F15" s="496">
        <f>(D15*E15)/2000</f>
        <v>1.0223945748602269E-2</v>
      </c>
      <c r="G15" s="484"/>
      <c r="H15" s="484"/>
      <c r="I15" s="484"/>
      <c r="J15" s="484"/>
      <c r="K15" s="484"/>
      <c r="L15" s="484"/>
      <c r="M15" s="484"/>
      <c r="N15" s="484"/>
      <c r="O15" s="484"/>
      <c r="P15" s="484"/>
      <c r="Q15" s="484"/>
      <c r="R15" s="484"/>
      <c r="S15" s="484"/>
    </row>
    <row r="16" spans="1:19" ht="13.8" x14ac:dyDescent="0.3">
      <c r="A16" s="494" t="s">
        <v>345</v>
      </c>
      <c r="B16" s="494">
        <v>0.23</v>
      </c>
      <c r="C16" s="495">
        <f t="shared" si="0"/>
        <v>5.0706361664226891E-4</v>
      </c>
      <c r="D16" s="494">
        <v>500</v>
      </c>
      <c r="E16" s="496">
        <f>265*C16</f>
        <v>0.13437185841020127</v>
      </c>
      <c r="F16" s="496">
        <f>(D16*E16)/2000</f>
        <v>3.3592964602550318E-2</v>
      </c>
      <c r="G16" s="484"/>
      <c r="H16" s="484"/>
      <c r="I16" s="484"/>
      <c r="J16" s="484"/>
      <c r="K16" s="484"/>
      <c r="L16" s="484"/>
      <c r="M16" s="484"/>
      <c r="N16" s="484"/>
      <c r="O16" s="484"/>
      <c r="P16" s="484"/>
      <c r="Q16" s="484"/>
      <c r="R16" s="484"/>
      <c r="S16" s="484"/>
    </row>
    <row r="17" spans="1:19" ht="13.8" x14ac:dyDescent="0.3">
      <c r="A17" s="497" t="s">
        <v>346</v>
      </c>
      <c r="B17" s="484"/>
      <c r="C17" s="484"/>
      <c r="D17" s="484"/>
      <c r="E17" s="484"/>
      <c r="F17" s="484"/>
      <c r="G17" s="484"/>
      <c r="H17" s="484"/>
      <c r="I17" s="484"/>
      <c r="J17" s="484"/>
      <c r="K17" s="484"/>
      <c r="L17" s="484"/>
      <c r="M17" s="484"/>
      <c r="N17" s="484"/>
      <c r="O17" s="484"/>
      <c r="P17" s="484"/>
      <c r="Q17" s="484"/>
      <c r="R17" s="484"/>
      <c r="S17" s="484"/>
    </row>
    <row r="18" spans="1:19" ht="19.5" customHeight="1" x14ac:dyDescent="0.3">
      <c r="A18" s="484"/>
      <c r="B18" s="484"/>
      <c r="C18" s="484"/>
      <c r="D18" s="484"/>
      <c r="E18" s="484"/>
      <c r="F18" s="484"/>
      <c r="G18" s="484"/>
      <c r="H18" s="484"/>
      <c r="I18" s="484"/>
      <c r="J18" s="484"/>
      <c r="K18" s="484"/>
      <c r="L18" s="484"/>
      <c r="M18" s="484"/>
      <c r="N18" s="484"/>
      <c r="O18" s="484"/>
      <c r="P18" s="484"/>
      <c r="Q18" s="484"/>
      <c r="R18" s="484"/>
      <c r="S18" s="484"/>
    </row>
    <row r="19" spans="1:19" ht="13.8" x14ac:dyDescent="0.3">
      <c r="A19" s="484" t="s">
        <v>347</v>
      </c>
      <c r="B19" s="484"/>
      <c r="C19" s="484"/>
      <c r="D19" s="484"/>
      <c r="E19" s="484"/>
      <c r="F19" s="484"/>
      <c r="G19" s="484"/>
      <c r="H19" s="484"/>
      <c r="I19" s="484"/>
      <c r="J19" s="484"/>
      <c r="K19" s="484"/>
      <c r="L19" s="484"/>
      <c r="M19" s="484"/>
      <c r="N19" s="484"/>
      <c r="O19" s="484"/>
      <c r="P19" s="484"/>
      <c r="Q19" s="484"/>
      <c r="R19" s="484"/>
      <c r="S19" s="484"/>
    </row>
    <row r="20" spans="1:19" ht="31.2" x14ac:dyDescent="0.3">
      <c r="A20" s="498" t="s">
        <v>216</v>
      </c>
      <c r="B20" s="498" t="s">
        <v>348</v>
      </c>
      <c r="C20" s="498" t="s">
        <v>341</v>
      </c>
      <c r="D20" s="499" t="s">
        <v>20</v>
      </c>
      <c r="E20" s="499" t="s">
        <v>23</v>
      </c>
      <c r="F20" s="484"/>
      <c r="G20" s="484"/>
      <c r="H20" s="484"/>
      <c r="I20" s="484"/>
      <c r="J20" s="484"/>
      <c r="K20" s="484"/>
      <c r="L20" s="484"/>
      <c r="M20" s="484"/>
      <c r="N20" s="484"/>
      <c r="O20" s="484"/>
      <c r="P20" s="484"/>
      <c r="Q20" s="484"/>
      <c r="R20" s="484"/>
      <c r="S20" s="484"/>
    </row>
    <row r="21" spans="1:19" ht="13.8" x14ac:dyDescent="0.3">
      <c r="A21" s="500" t="s">
        <v>349</v>
      </c>
      <c r="B21" s="501">
        <v>3.9100000000000002E-5</v>
      </c>
      <c r="C21" s="494">
        <v>500</v>
      </c>
      <c r="D21" s="502">
        <f t="shared" ref="D21:D28" si="1">B21*$I$9</f>
        <v>7.6620360000000006E-5</v>
      </c>
      <c r="E21" s="502">
        <f>D21*C21/2000</f>
        <v>1.9155090000000002E-5</v>
      </c>
      <c r="F21" s="484"/>
      <c r="G21" s="484"/>
      <c r="H21" s="484"/>
      <c r="I21" s="484"/>
      <c r="J21" s="484"/>
      <c r="K21" s="484"/>
      <c r="L21" s="484"/>
      <c r="M21" s="484"/>
      <c r="N21" s="484"/>
      <c r="O21" s="484"/>
      <c r="P21" s="484"/>
      <c r="Q21" s="484"/>
      <c r="R21" s="484"/>
      <c r="S21" s="484"/>
    </row>
    <row r="22" spans="1:19" ht="13.8" x14ac:dyDescent="0.3">
      <c r="A22" s="494" t="s">
        <v>188</v>
      </c>
      <c r="B22" s="501">
        <v>7.67E-4</v>
      </c>
      <c r="C22" s="494">
        <v>500</v>
      </c>
      <c r="D22" s="502">
        <f t="shared" si="1"/>
        <v>1.5030131999999999E-3</v>
      </c>
      <c r="E22" s="502">
        <f t="shared" ref="E22:E28" si="2">D22*C22/2000</f>
        <v>3.7575329999999999E-4</v>
      </c>
      <c r="F22" s="484"/>
      <c r="G22" s="484"/>
      <c r="H22" s="484"/>
      <c r="I22" s="484"/>
      <c r="J22" s="484"/>
      <c r="K22" s="484"/>
      <c r="L22" s="484"/>
      <c r="M22" s="484"/>
      <c r="N22" s="484"/>
      <c r="O22" s="484"/>
      <c r="P22" s="484"/>
      <c r="Q22" s="484"/>
      <c r="R22" s="484"/>
      <c r="S22" s="484"/>
    </row>
    <row r="23" spans="1:19" ht="13.8" x14ac:dyDescent="0.3">
      <c r="A23" s="494" t="s">
        <v>189</v>
      </c>
      <c r="B23" s="501">
        <v>9.2499999999999999E-5</v>
      </c>
      <c r="C23" s="494">
        <v>500</v>
      </c>
      <c r="D23" s="502">
        <f t="shared" si="1"/>
        <v>1.81263E-4</v>
      </c>
      <c r="E23" s="502">
        <f t="shared" si="2"/>
        <v>4.5315750000000001E-5</v>
      </c>
      <c r="F23" s="484"/>
      <c r="G23" s="484"/>
      <c r="H23" s="484"/>
      <c r="I23" s="484"/>
      <c r="J23" s="484"/>
      <c r="K23" s="484"/>
      <c r="L23" s="484"/>
      <c r="M23" s="484"/>
      <c r="N23" s="484"/>
      <c r="O23" s="484"/>
      <c r="P23" s="484"/>
      <c r="Q23" s="484"/>
      <c r="R23" s="484"/>
      <c r="S23" s="484"/>
    </row>
    <row r="24" spans="1:19" ht="13.8" x14ac:dyDescent="0.3">
      <c r="A24" s="494" t="s">
        <v>190</v>
      </c>
      <c r="B24" s="501">
        <v>9.3300000000000002E-4</v>
      </c>
      <c r="C24" s="494">
        <v>500</v>
      </c>
      <c r="D24" s="502">
        <f t="shared" si="1"/>
        <v>1.8283068000000001E-3</v>
      </c>
      <c r="E24" s="502">
        <f t="shared" si="2"/>
        <v>4.5707670000000002E-4</v>
      </c>
      <c r="F24" s="484"/>
      <c r="G24" s="484"/>
      <c r="H24" s="484"/>
      <c r="I24" s="484"/>
      <c r="J24" s="484"/>
      <c r="K24" s="484"/>
      <c r="L24" s="484"/>
      <c r="M24" s="484"/>
      <c r="N24" s="484"/>
      <c r="O24" s="484"/>
      <c r="P24" s="484"/>
      <c r="Q24" s="484"/>
      <c r="R24" s="484"/>
      <c r="S24" s="484"/>
    </row>
    <row r="25" spans="1:19" ht="13.8" x14ac:dyDescent="0.3">
      <c r="A25" s="500" t="s">
        <v>118</v>
      </c>
      <c r="B25" s="501">
        <v>1.1800000000000001E-3</v>
      </c>
      <c r="C25" s="494">
        <v>500</v>
      </c>
      <c r="D25" s="502">
        <f t="shared" si="1"/>
        <v>2.3123280000000002E-3</v>
      </c>
      <c r="E25" s="502">
        <f t="shared" si="2"/>
        <v>5.7808200000000005E-4</v>
      </c>
      <c r="F25" s="484"/>
      <c r="G25" s="484"/>
      <c r="H25" s="484"/>
      <c r="I25" s="484"/>
      <c r="J25" s="484"/>
      <c r="K25" s="484"/>
      <c r="L25" s="484"/>
      <c r="M25" s="484"/>
      <c r="N25" s="484"/>
      <c r="O25" s="484"/>
      <c r="P25" s="484"/>
      <c r="Q25" s="484"/>
      <c r="R25" s="484"/>
      <c r="S25" s="484"/>
    </row>
    <row r="26" spans="1:19" ht="13.8" x14ac:dyDescent="0.3">
      <c r="A26" s="500" t="s">
        <v>193</v>
      </c>
      <c r="B26" s="501">
        <v>1.6799999999999999E-4</v>
      </c>
      <c r="C26" s="494">
        <v>500</v>
      </c>
      <c r="D26" s="502">
        <f t="shared" si="1"/>
        <v>3.2921280000000001E-4</v>
      </c>
      <c r="E26" s="502">
        <f t="shared" si="2"/>
        <v>8.2303200000000002E-5</v>
      </c>
      <c r="F26" s="484"/>
      <c r="G26" s="484"/>
      <c r="H26" s="484"/>
      <c r="I26" s="484"/>
      <c r="J26" s="484"/>
      <c r="K26" s="484"/>
      <c r="L26" s="484"/>
      <c r="M26" s="484"/>
      <c r="N26" s="484"/>
      <c r="O26" s="484"/>
      <c r="P26" s="484"/>
      <c r="Q26" s="484"/>
      <c r="R26" s="484"/>
      <c r="S26" s="484"/>
    </row>
    <row r="27" spans="1:19" ht="13.8" x14ac:dyDescent="0.3">
      <c r="A27" s="494" t="s">
        <v>195</v>
      </c>
      <c r="B27" s="501">
        <v>4.0900000000000002E-4</v>
      </c>
      <c r="C27" s="494">
        <v>500</v>
      </c>
      <c r="D27" s="502">
        <f t="shared" si="1"/>
        <v>8.014764E-4</v>
      </c>
      <c r="E27" s="502">
        <f t="shared" si="2"/>
        <v>2.003691E-4</v>
      </c>
      <c r="F27" s="484"/>
      <c r="G27" s="484"/>
      <c r="H27" s="484"/>
      <c r="I27" s="484"/>
      <c r="J27" s="484"/>
      <c r="K27" s="484"/>
      <c r="L27" s="484"/>
      <c r="M27" s="484"/>
      <c r="N27" s="484"/>
      <c r="O27" s="484"/>
      <c r="P27" s="484"/>
      <c r="Q27" s="484"/>
      <c r="R27" s="484"/>
      <c r="S27" s="484"/>
    </row>
    <row r="28" spans="1:19" ht="13.8" x14ac:dyDescent="0.3">
      <c r="A28" s="494" t="s">
        <v>350</v>
      </c>
      <c r="B28" s="501">
        <v>2.8499999999999999E-4</v>
      </c>
      <c r="C28" s="494">
        <v>500</v>
      </c>
      <c r="D28" s="502">
        <f t="shared" si="1"/>
        <v>5.5848599999999997E-4</v>
      </c>
      <c r="E28" s="502">
        <f t="shared" si="2"/>
        <v>1.3962149999999999E-4</v>
      </c>
      <c r="F28" s="484"/>
      <c r="G28" s="484"/>
      <c r="H28" s="484"/>
      <c r="I28" s="484"/>
      <c r="J28" s="484"/>
      <c r="K28" s="484"/>
      <c r="L28" s="484"/>
      <c r="M28" s="484"/>
      <c r="N28" s="484"/>
      <c r="O28" s="484"/>
      <c r="P28" s="484"/>
      <c r="Q28" s="484"/>
      <c r="R28" s="484"/>
      <c r="S28" s="484"/>
    </row>
    <row r="29" spans="1:19" ht="13.8" x14ac:dyDescent="0.3">
      <c r="A29" s="497" t="s">
        <v>351</v>
      </c>
      <c r="B29" s="484"/>
      <c r="C29" s="484"/>
      <c r="D29" s="484"/>
      <c r="E29" s="484"/>
      <c r="F29" s="484"/>
      <c r="G29" s="484"/>
      <c r="H29" s="484"/>
      <c r="I29" s="484"/>
      <c r="J29" s="484"/>
      <c r="K29" s="484"/>
      <c r="L29" s="484"/>
      <c r="M29" s="484"/>
      <c r="N29" s="484"/>
      <c r="O29" s="484"/>
      <c r="P29" s="484"/>
      <c r="Q29" s="484"/>
      <c r="R29" s="484"/>
      <c r="S29" s="484"/>
    </row>
    <row r="30" spans="1:19" ht="13.8" x14ac:dyDescent="0.3">
      <c r="A30" s="484"/>
      <c r="B30" s="484"/>
      <c r="C30" s="484"/>
      <c r="D30" s="484"/>
      <c r="E30" s="484"/>
      <c r="F30" s="484"/>
      <c r="G30" s="484"/>
      <c r="H30" s="484"/>
      <c r="I30" s="484"/>
      <c r="J30" s="484"/>
      <c r="K30" s="484"/>
      <c r="L30" s="484"/>
      <c r="M30" s="484"/>
      <c r="N30" s="484"/>
      <c r="O30" s="484"/>
      <c r="P30" s="484"/>
      <c r="Q30" s="484"/>
      <c r="R30" s="484"/>
      <c r="S30" s="484"/>
    </row>
    <row r="31" spans="1:19" ht="13.8" x14ac:dyDescent="0.3">
      <c r="A31" s="484" t="s">
        <v>352</v>
      </c>
      <c r="B31" s="484"/>
      <c r="C31" s="484"/>
      <c r="D31" s="484"/>
      <c r="E31" s="484"/>
      <c r="F31" s="484"/>
      <c r="G31" s="484"/>
      <c r="H31" s="484"/>
      <c r="I31" s="484"/>
      <c r="J31" s="484"/>
      <c r="K31" s="484"/>
      <c r="L31" s="484"/>
      <c r="M31" s="484"/>
      <c r="N31" s="484"/>
      <c r="O31" s="484"/>
      <c r="P31" s="484"/>
      <c r="Q31" s="484"/>
      <c r="R31" s="484"/>
      <c r="S31" s="484"/>
    </row>
    <row r="32" spans="1:19" ht="31.2" x14ac:dyDescent="0.3">
      <c r="A32" s="498" t="s">
        <v>353</v>
      </c>
      <c r="B32" s="498" t="s">
        <v>348</v>
      </c>
      <c r="C32" s="498" t="s">
        <v>341</v>
      </c>
      <c r="D32" s="499" t="s">
        <v>20</v>
      </c>
      <c r="E32" s="499" t="s">
        <v>23</v>
      </c>
      <c r="F32" s="484"/>
      <c r="G32" s="484"/>
      <c r="H32" s="484"/>
      <c r="I32" s="484"/>
      <c r="J32" s="484"/>
      <c r="K32" s="484"/>
      <c r="L32" s="484"/>
      <c r="M32" s="484"/>
      <c r="N32" s="484"/>
      <c r="O32" s="484"/>
      <c r="P32" s="484"/>
      <c r="Q32" s="484"/>
      <c r="R32" s="484"/>
      <c r="S32" s="484"/>
    </row>
    <row r="33" spans="1:19" ht="15" x14ac:dyDescent="0.3">
      <c r="A33" s="503" t="s">
        <v>354</v>
      </c>
      <c r="B33" s="504">
        <f>73.96*2.20462</f>
        <v>163.05369519999996</v>
      </c>
      <c r="C33" s="494">
        <v>500</v>
      </c>
      <c r="D33" s="496">
        <f>B33*$I$9</f>
        <v>319.52002111391994</v>
      </c>
      <c r="E33" s="496">
        <f>C33*D33/2000</f>
        <v>79.88000527847997</v>
      </c>
      <c r="F33" s="484"/>
      <c r="G33" s="484"/>
      <c r="H33" s="484"/>
      <c r="I33" s="484"/>
      <c r="J33" s="484"/>
      <c r="K33" s="484"/>
      <c r="L33" s="484"/>
      <c r="M33" s="484"/>
      <c r="N33" s="484"/>
      <c r="O33" s="484"/>
      <c r="P33" s="484"/>
      <c r="Q33" s="484"/>
      <c r="R33" s="484"/>
      <c r="S33" s="484"/>
    </row>
    <row r="34" spans="1:19" ht="15" x14ac:dyDescent="0.3">
      <c r="A34" s="503" t="s">
        <v>355</v>
      </c>
      <c r="B34" s="505">
        <f>0.003*2.20462</f>
        <v>6.6138599999999992E-3</v>
      </c>
      <c r="C34" s="494">
        <v>500</v>
      </c>
      <c r="D34" s="502">
        <f>B34*$I$9</f>
        <v>1.2960520055999998E-2</v>
      </c>
      <c r="E34" s="502">
        <f t="shared" ref="E34:E35" si="3">C34*D34/2000</f>
        <v>3.2401300139999994E-3</v>
      </c>
      <c r="F34" s="484"/>
      <c r="G34" s="484"/>
      <c r="H34" s="484"/>
      <c r="I34" s="484"/>
      <c r="J34" s="484"/>
      <c r="K34" s="484"/>
      <c r="L34" s="484"/>
      <c r="M34" s="484"/>
      <c r="N34" s="484"/>
      <c r="O34" s="484"/>
      <c r="P34" s="484"/>
      <c r="Q34" s="484"/>
      <c r="R34" s="484"/>
      <c r="S34" s="484"/>
    </row>
    <row r="35" spans="1:19" ht="15" x14ac:dyDescent="0.3">
      <c r="A35" s="503" t="s">
        <v>356</v>
      </c>
      <c r="B35" s="505">
        <f>0.0006*2.20462</f>
        <v>1.3227719999999998E-3</v>
      </c>
      <c r="C35" s="494">
        <v>500</v>
      </c>
      <c r="D35" s="502">
        <f>B35*$I$9</f>
        <v>2.5921040111999997E-3</v>
      </c>
      <c r="E35" s="502">
        <f t="shared" si="3"/>
        <v>6.4802600279999993E-4</v>
      </c>
      <c r="F35" s="484"/>
      <c r="G35" s="484"/>
      <c r="H35" s="484"/>
      <c r="I35" s="484"/>
      <c r="J35" s="484"/>
      <c r="K35" s="484"/>
      <c r="L35" s="484"/>
      <c r="M35" s="484"/>
      <c r="N35" s="484"/>
      <c r="O35" s="484"/>
      <c r="P35" s="484"/>
      <c r="Q35" s="484"/>
      <c r="R35" s="484"/>
      <c r="S35" s="484"/>
    </row>
    <row r="36" spans="1:19" ht="13.8" x14ac:dyDescent="0.3">
      <c r="A36" s="497" t="s">
        <v>357</v>
      </c>
      <c r="B36" s="484"/>
      <c r="C36" s="484"/>
      <c r="D36" s="484"/>
      <c r="E36" s="484"/>
      <c r="F36" s="484"/>
      <c r="G36" s="484"/>
      <c r="H36" s="484"/>
      <c r="I36" s="484"/>
      <c r="J36" s="484"/>
      <c r="K36" s="484"/>
      <c r="L36" s="484"/>
      <c r="M36" s="484"/>
      <c r="N36" s="484"/>
      <c r="O36" s="484"/>
      <c r="P36" s="484"/>
      <c r="Q36" s="484"/>
      <c r="R36" s="484"/>
      <c r="S36" s="484"/>
    </row>
    <row r="37" spans="1:19" ht="13.8" x14ac:dyDescent="0.3">
      <c r="A37" s="484"/>
      <c r="B37" s="484"/>
      <c r="C37" s="484"/>
      <c r="D37" s="484"/>
      <c r="E37" s="484"/>
      <c r="F37" s="484"/>
      <c r="G37" s="484"/>
      <c r="H37" s="484"/>
      <c r="I37" s="484"/>
      <c r="J37" s="484"/>
      <c r="K37" s="484"/>
      <c r="L37" s="484"/>
      <c r="M37" s="484"/>
      <c r="N37" s="484"/>
      <c r="O37" s="484"/>
      <c r="P37" s="484"/>
      <c r="Q37" s="484"/>
      <c r="R37" s="484"/>
      <c r="S37" s="484"/>
    </row>
    <row r="38" spans="1:19" ht="13.8" x14ac:dyDescent="0.3">
      <c r="A38" s="484"/>
      <c r="B38" s="484"/>
      <c r="C38" s="484"/>
      <c r="D38" s="484"/>
      <c r="E38" s="484"/>
      <c r="F38" s="484"/>
      <c r="G38" s="484"/>
      <c r="H38" s="484"/>
      <c r="I38" s="484"/>
      <c r="J38" s="484"/>
      <c r="K38" s="484"/>
      <c r="L38" s="484"/>
      <c r="M38" s="484"/>
      <c r="N38" s="484"/>
      <c r="O38" s="484"/>
      <c r="P38" s="484"/>
      <c r="Q38" s="484"/>
      <c r="R38" s="484"/>
      <c r="S38" s="484"/>
    </row>
    <row r="39" spans="1:19" ht="13.8" x14ac:dyDescent="0.3">
      <c r="A39" s="484"/>
      <c r="B39" s="484"/>
      <c r="C39" s="484"/>
      <c r="D39" s="484"/>
      <c r="E39" s="484"/>
      <c r="F39" s="484"/>
      <c r="G39" s="484"/>
      <c r="H39" s="484"/>
      <c r="I39" s="484"/>
      <c r="J39" s="484"/>
      <c r="K39" s="484"/>
      <c r="L39" s="484"/>
      <c r="M39" s="484"/>
      <c r="N39" s="484"/>
      <c r="O39" s="484"/>
      <c r="P39" s="484"/>
      <c r="Q39" s="484"/>
      <c r="R39" s="484"/>
      <c r="S39" s="484"/>
    </row>
    <row r="40" spans="1:19" ht="13.8" x14ac:dyDescent="0.3">
      <c r="A40" s="484"/>
      <c r="B40" s="484"/>
      <c r="C40" s="484"/>
      <c r="D40" s="484"/>
      <c r="E40" s="484"/>
      <c r="F40" s="484"/>
      <c r="G40" s="484"/>
      <c r="H40" s="484"/>
      <c r="I40" s="484"/>
      <c r="J40" s="484"/>
      <c r="K40" s="484"/>
      <c r="L40" s="484"/>
      <c r="M40" s="484"/>
      <c r="N40" s="484"/>
      <c r="O40" s="484"/>
      <c r="P40" s="484"/>
      <c r="Q40" s="484"/>
      <c r="R40" s="484"/>
      <c r="S40" s="484"/>
    </row>
    <row r="41" spans="1:19" ht="13.8" x14ac:dyDescent="0.3">
      <c r="A41" s="484"/>
      <c r="B41" s="484"/>
      <c r="C41" s="484"/>
      <c r="D41" s="484"/>
      <c r="E41" s="484"/>
      <c r="F41" s="484"/>
      <c r="G41" s="484"/>
      <c r="H41" s="484"/>
      <c r="I41" s="484"/>
      <c r="J41" s="484"/>
      <c r="K41" s="484"/>
      <c r="L41" s="484"/>
      <c r="M41" s="484"/>
      <c r="N41" s="484"/>
      <c r="O41" s="484"/>
      <c r="P41" s="484"/>
      <c r="Q41" s="484"/>
      <c r="R41" s="484"/>
      <c r="S41" s="484"/>
    </row>
    <row r="42" spans="1:19" ht="13.8" x14ac:dyDescent="0.3">
      <c r="A42" s="484"/>
      <c r="B42" s="484"/>
      <c r="C42" s="484"/>
      <c r="D42" s="484"/>
      <c r="E42" s="484"/>
      <c r="F42" s="484"/>
      <c r="G42" s="484"/>
      <c r="H42" s="484"/>
      <c r="I42" s="484"/>
      <c r="J42" s="484"/>
      <c r="K42" s="484"/>
      <c r="L42" s="484"/>
      <c r="M42" s="484"/>
      <c r="N42" s="484"/>
      <c r="O42" s="484"/>
      <c r="P42" s="484"/>
      <c r="Q42" s="484"/>
      <c r="R42" s="484"/>
      <c r="S42" s="484"/>
    </row>
    <row r="43" spans="1:19" ht="13.8" x14ac:dyDescent="0.3">
      <c r="A43" s="484"/>
      <c r="B43" s="484"/>
      <c r="C43" s="484"/>
      <c r="D43" s="484"/>
      <c r="E43" s="484"/>
      <c r="F43" s="484"/>
      <c r="G43" s="484"/>
      <c r="H43" s="484"/>
      <c r="I43" s="484"/>
      <c r="J43" s="484"/>
      <c r="K43" s="484"/>
      <c r="L43" s="484"/>
      <c r="M43" s="484"/>
      <c r="N43" s="484"/>
      <c r="O43" s="484"/>
      <c r="P43" s="484"/>
      <c r="Q43" s="484"/>
      <c r="R43" s="484"/>
      <c r="S43" s="484"/>
    </row>
    <row r="44" spans="1:19" ht="13.8" x14ac:dyDescent="0.3">
      <c r="A44" s="484"/>
      <c r="B44" s="484"/>
      <c r="C44" s="484"/>
      <c r="D44" s="484"/>
      <c r="E44" s="484"/>
      <c r="F44" s="484"/>
      <c r="G44" s="484"/>
      <c r="H44" s="484"/>
      <c r="I44" s="484"/>
      <c r="J44" s="484"/>
      <c r="K44" s="484"/>
      <c r="L44" s="484"/>
      <c r="M44" s="484"/>
      <c r="N44" s="484"/>
      <c r="O44" s="484"/>
      <c r="P44" s="484"/>
      <c r="Q44" s="484"/>
      <c r="R44" s="484"/>
      <c r="S44" s="484"/>
    </row>
    <row r="45" spans="1:19" ht="13.8" x14ac:dyDescent="0.3">
      <c r="A45" s="484"/>
      <c r="B45" s="484"/>
      <c r="C45" s="484"/>
      <c r="D45" s="484"/>
      <c r="E45" s="484"/>
      <c r="F45" s="484"/>
      <c r="G45" s="484"/>
      <c r="H45" s="484"/>
      <c r="I45" s="484"/>
      <c r="J45" s="484"/>
      <c r="K45" s="484"/>
      <c r="L45" s="484"/>
      <c r="M45" s="484"/>
      <c r="N45" s="484"/>
      <c r="O45" s="484"/>
      <c r="P45" s="484"/>
      <c r="Q45" s="484"/>
      <c r="R45" s="484"/>
      <c r="S45" s="484"/>
    </row>
    <row r="46" spans="1:19" ht="13.8" x14ac:dyDescent="0.3">
      <c r="A46" s="484"/>
      <c r="B46" s="484"/>
      <c r="C46" s="484"/>
      <c r="D46" s="484"/>
      <c r="E46" s="484"/>
      <c r="F46" s="484"/>
      <c r="G46" s="484"/>
      <c r="H46" s="484"/>
      <c r="I46" s="484"/>
      <c r="J46" s="484"/>
      <c r="K46" s="484"/>
      <c r="L46" s="484"/>
      <c r="M46" s="484"/>
      <c r="N46" s="484"/>
      <c r="O46" s="484"/>
      <c r="P46" s="484"/>
      <c r="Q46" s="484"/>
      <c r="R46" s="484"/>
      <c r="S46" s="484"/>
    </row>
    <row r="47" spans="1:19" ht="13.8" x14ac:dyDescent="0.3">
      <c r="A47" s="484"/>
      <c r="B47" s="484"/>
      <c r="C47" s="484"/>
      <c r="D47" s="484"/>
      <c r="E47" s="484"/>
      <c r="F47" s="484"/>
      <c r="G47" s="484"/>
      <c r="H47" s="484"/>
      <c r="I47" s="484"/>
      <c r="J47" s="484"/>
      <c r="K47" s="484"/>
      <c r="L47" s="484"/>
      <c r="M47" s="484"/>
      <c r="N47" s="484"/>
      <c r="O47" s="484"/>
      <c r="P47" s="484"/>
      <c r="Q47" s="484"/>
      <c r="R47" s="484"/>
      <c r="S47" s="484"/>
    </row>
    <row r="48" spans="1:19" ht="13.8" x14ac:dyDescent="0.3">
      <c r="A48" s="484"/>
      <c r="B48" s="484"/>
      <c r="C48" s="484"/>
      <c r="D48" s="484"/>
      <c r="E48" s="484"/>
      <c r="F48" s="484"/>
      <c r="G48" s="484"/>
      <c r="H48" s="484"/>
      <c r="I48" s="484"/>
      <c r="J48" s="484"/>
      <c r="K48" s="484"/>
      <c r="L48" s="484"/>
      <c r="M48" s="484"/>
      <c r="N48" s="484"/>
      <c r="O48" s="484"/>
      <c r="P48" s="484"/>
      <c r="Q48" s="484"/>
      <c r="R48" s="484"/>
      <c r="S48" s="484"/>
    </row>
    <row r="49" spans="1:19" ht="13.8" x14ac:dyDescent="0.3">
      <c r="A49" s="484"/>
      <c r="B49" s="484"/>
      <c r="C49" s="484"/>
      <c r="D49" s="484"/>
      <c r="E49" s="484"/>
      <c r="F49" s="484"/>
      <c r="G49" s="484"/>
      <c r="H49" s="484"/>
      <c r="I49" s="484"/>
      <c r="J49" s="484"/>
      <c r="K49" s="484"/>
      <c r="L49" s="484"/>
      <c r="M49" s="484"/>
      <c r="N49" s="484"/>
      <c r="O49" s="484"/>
      <c r="P49" s="484"/>
      <c r="Q49" s="484"/>
      <c r="R49" s="484"/>
      <c r="S49" s="484"/>
    </row>
    <row r="50" spans="1:19" ht="13.8" x14ac:dyDescent="0.3">
      <c r="A50" s="484"/>
      <c r="B50" s="484"/>
      <c r="C50" s="484"/>
      <c r="D50" s="484"/>
      <c r="E50" s="484"/>
      <c r="F50" s="484"/>
      <c r="G50" s="484"/>
      <c r="H50" s="484"/>
      <c r="I50" s="484"/>
      <c r="J50" s="484"/>
      <c r="K50" s="484"/>
      <c r="L50" s="484"/>
      <c r="M50" s="484"/>
      <c r="N50" s="484"/>
      <c r="O50" s="484"/>
      <c r="P50" s="484"/>
      <c r="Q50" s="484"/>
      <c r="R50" s="484"/>
      <c r="S50" s="484"/>
    </row>
    <row r="51" spans="1:19" ht="13.8" x14ac:dyDescent="0.3">
      <c r="A51" s="484"/>
      <c r="B51" s="484"/>
      <c r="C51" s="484"/>
      <c r="D51" s="484"/>
      <c r="E51" s="484"/>
      <c r="F51" s="484"/>
      <c r="G51" s="484"/>
      <c r="H51" s="484"/>
      <c r="I51" s="484"/>
      <c r="J51" s="484"/>
      <c r="K51" s="484"/>
      <c r="L51" s="484"/>
      <c r="M51" s="484"/>
      <c r="N51" s="484"/>
      <c r="O51" s="484"/>
      <c r="P51" s="484"/>
      <c r="Q51" s="484"/>
      <c r="R51" s="484"/>
      <c r="S51" s="484"/>
    </row>
    <row r="52" spans="1:19" ht="13.8" x14ac:dyDescent="0.3">
      <c r="A52" s="484"/>
      <c r="B52" s="484"/>
      <c r="C52" s="484"/>
      <c r="D52" s="484"/>
      <c r="E52" s="484"/>
      <c r="F52" s="484"/>
      <c r="G52" s="484"/>
      <c r="H52" s="484"/>
      <c r="I52" s="484"/>
      <c r="J52" s="484"/>
      <c r="K52" s="484"/>
      <c r="L52" s="484"/>
      <c r="M52" s="484"/>
      <c r="N52" s="484"/>
      <c r="O52" s="484"/>
      <c r="P52" s="484"/>
      <c r="Q52" s="484"/>
      <c r="R52" s="484"/>
      <c r="S52" s="484"/>
    </row>
    <row r="53" spans="1:19" ht="13.8" x14ac:dyDescent="0.3">
      <c r="A53" s="484"/>
      <c r="B53" s="484"/>
      <c r="C53" s="484"/>
      <c r="D53" s="484"/>
      <c r="E53" s="484"/>
      <c r="F53" s="484"/>
      <c r="G53" s="484"/>
      <c r="H53" s="484"/>
      <c r="I53" s="484"/>
      <c r="J53" s="484"/>
      <c r="K53" s="484"/>
      <c r="L53" s="484"/>
      <c r="M53" s="484"/>
      <c r="N53" s="484"/>
      <c r="O53" s="484"/>
      <c r="P53" s="484"/>
      <c r="Q53" s="484"/>
      <c r="R53" s="484"/>
      <c r="S53" s="484"/>
    </row>
    <row r="54" spans="1:19" ht="13.8" x14ac:dyDescent="0.3">
      <c r="A54" s="484"/>
      <c r="B54" s="484"/>
      <c r="C54" s="484"/>
      <c r="D54" s="484"/>
      <c r="E54" s="484"/>
      <c r="F54" s="484"/>
      <c r="G54" s="484"/>
      <c r="H54" s="484"/>
      <c r="I54" s="484"/>
      <c r="J54" s="484"/>
      <c r="K54" s="484"/>
      <c r="L54" s="484"/>
      <c r="M54" s="484"/>
      <c r="N54" s="484"/>
      <c r="O54" s="484"/>
      <c r="P54" s="484"/>
      <c r="Q54" s="484"/>
      <c r="R54" s="484"/>
      <c r="S54" s="484"/>
    </row>
    <row r="55" spans="1:19" ht="13.8" x14ac:dyDescent="0.3">
      <c r="A55" s="484"/>
      <c r="B55" s="484"/>
      <c r="C55" s="484"/>
      <c r="D55" s="484"/>
      <c r="E55" s="484"/>
      <c r="F55" s="484"/>
      <c r="G55" s="484"/>
      <c r="H55" s="484"/>
      <c r="I55" s="484"/>
      <c r="J55" s="484"/>
      <c r="K55" s="484"/>
      <c r="L55" s="484"/>
      <c r="M55" s="484"/>
      <c r="N55" s="484"/>
      <c r="O55" s="484"/>
      <c r="P55" s="484"/>
      <c r="Q55" s="484"/>
      <c r="R55" s="484"/>
      <c r="S55" s="484"/>
    </row>
    <row r="56" spans="1:19" ht="13.8" x14ac:dyDescent="0.3">
      <c r="A56" s="484"/>
      <c r="B56" s="484"/>
      <c r="C56" s="484"/>
      <c r="D56" s="484"/>
      <c r="E56" s="484"/>
      <c r="F56" s="484"/>
      <c r="G56" s="484"/>
      <c r="H56" s="484"/>
      <c r="I56" s="484"/>
      <c r="J56" s="484"/>
      <c r="K56" s="484"/>
      <c r="L56" s="484"/>
      <c r="M56" s="484"/>
      <c r="N56" s="484"/>
      <c r="O56" s="484"/>
      <c r="P56" s="484"/>
      <c r="Q56" s="484"/>
      <c r="R56" s="484"/>
      <c r="S56" s="484"/>
    </row>
    <row r="57" spans="1:19" ht="13.8" x14ac:dyDescent="0.3">
      <c r="A57" s="484"/>
      <c r="B57" s="484"/>
      <c r="C57" s="484"/>
      <c r="D57" s="484"/>
      <c r="E57" s="484"/>
      <c r="F57" s="484"/>
      <c r="G57" s="484"/>
      <c r="H57" s="484"/>
      <c r="I57" s="484"/>
      <c r="J57" s="484"/>
      <c r="K57" s="484"/>
      <c r="L57" s="484"/>
      <c r="M57" s="484"/>
      <c r="N57" s="484"/>
      <c r="O57" s="484"/>
      <c r="P57" s="484"/>
      <c r="Q57" s="484"/>
      <c r="R57" s="484"/>
      <c r="S57" s="484"/>
    </row>
    <row r="58" spans="1:19" ht="13.8" x14ac:dyDescent="0.3">
      <c r="A58" s="484"/>
      <c r="B58" s="484"/>
      <c r="C58" s="484"/>
      <c r="D58" s="484"/>
      <c r="E58" s="484"/>
      <c r="F58" s="484"/>
      <c r="G58" s="484"/>
      <c r="H58" s="484"/>
      <c r="I58" s="484"/>
      <c r="J58" s="484"/>
      <c r="K58" s="484"/>
      <c r="L58" s="484"/>
      <c r="M58" s="484"/>
      <c r="N58" s="484"/>
      <c r="O58" s="484"/>
      <c r="P58" s="484"/>
      <c r="Q58" s="484"/>
      <c r="R58" s="484"/>
      <c r="S58" s="484"/>
    </row>
    <row r="59" spans="1:19" ht="13.8" x14ac:dyDescent="0.3">
      <c r="A59" s="484"/>
      <c r="B59" s="484"/>
      <c r="C59" s="484"/>
      <c r="D59" s="484"/>
      <c r="E59" s="484"/>
      <c r="F59" s="484"/>
      <c r="G59" s="484"/>
      <c r="H59" s="484"/>
      <c r="I59" s="484"/>
      <c r="J59" s="484"/>
      <c r="K59" s="484"/>
      <c r="L59" s="484"/>
      <c r="M59" s="484"/>
      <c r="N59" s="484"/>
      <c r="O59" s="484"/>
      <c r="P59" s="484"/>
      <c r="Q59" s="484"/>
      <c r="R59" s="484"/>
      <c r="S59" s="484"/>
    </row>
    <row r="60" spans="1:19" ht="13.8" x14ac:dyDescent="0.3">
      <c r="A60" s="484"/>
      <c r="B60" s="484"/>
      <c r="C60" s="484"/>
      <c r="D60" s="484"/>
      <c r="E60" s="484"/>
      <c r="F60" s="484"/>
      <c r="G60" s="484"/>
      <c r="H60" s="484"/>
      <c r="I60" s="484"/>
      <c r="J60" s="484"/>
      <c r="K60" s="484"/>
      <c r="L60" s="484"/>
      <c r="M60" s="484"/>
      <c r="N60" s="484"/>
      <c r="O60" s="484"/>
      <c r="P60" s="484"/>
      <c r="Q60" s="484"/>
      <c r="R60" s="484"/>
      <c r="S60" s="484"/>
    </row>
    <row r="61" spans="1:19" ht="13.8" x14ac:dyDescent="0.3">
      <c r="A61" s="484"/>
      <c r="B61" s="484"/>
      <c r="C61" s="484"/>
      <c r="D61" s="484"/>
      <c r="E61" s="484"/>
      <c r="F61" s="484"/>
      <c r="G61" s="484"/>
      <c r="H61" s="484"/>
      <c r="I61" s="484"/>
      <c r="J61" s="484"/>
      <c r="K61" s="484"/>
      <c r="L61" s="484"/>
      <c r="M61" s="484"/>
      <c r="N61" s="484"/>
      <c r="O61" s="484"/>
      <c r="P61" s="484"/>
      <c r="Q61" s="484"/>
      <c r="R61" s="484"/>
      <c r="S61" s="484"/>
    </row>
    <row r="62" spans="1:19" ht="13.8" x14ac:dyDescent="0.3">
      <c r="A62" s="484"/>
      <c r="B62" s="484"/>
      <c r="C62" s="484"/>
      <c r="D62" s="484"/>
      <c r="E62" s="484"/>
      <c r="F62" s="484"/>
      <c r="G62" s="484"/>
      <c r="H62" s="484"/>
      <c r="I62" s="484"/>
      <c r="J62" s="484"/>
      <c r="K62" s="484"/>
      <c r="L62" s="484"/>
      <c r="M62" s="484"/>
      <c r="N62" s="484"/>
      <c r="O62" s="484"/>
      <c r="P62" s="484"/>
      <c r="Q62" s="484"/>
      <c r="R62" s="484"/>
      <c r="S62" s="484"/>
    </row>
    <row r="63" spans="1:19" ht="13.8" x14ac:dyDescent="0.3">
      <c r="A63" s="484"/>
      <c r="B63" s="484"/>
      <c r="C63" s="484"/>
      <c r="D63" s="484"/>
      <c r="E63" s="484"/>
      <c r="F63" s="484"/>
      <c r="G63" s="484"/>
      <c r="H63" s="484"/>
      <c r="I63" s="484"/>
      <c r="J63" s="484"/>
      <c r="K63" s="484"/>
      <c r="L63" s="484"/>
      <c r="M63" s="484"/>
      <c r="N63" s="484"/>
      <c r="O63" s="484"/>
      <c r="P63" s="484"/>
      <c r="Q63" s="484"/>
      <c r="R63" s="484"/>
      <c r="S63" s="484"/>
    </row>
    <row r="64" spans="1:19" ht="13.8" x14ac:dyDescent="0.3">
      <c r="A64" s="484"/>
      <c r="B64" s="484"/>
      <c r="C64" s="484"/>
      <c r="D64" s="484"/>
      <c r="E64" s="484"/>
      <c r="F64" s="484"/>
      <c r="G64" s="484"/>
      <c r="H64" s="484"/>
      <c r="I64" s="484"/>
      <c r="J64" s="484"/>
      <c r="K64" s="484"/>
      <c r="L64" s="484"/>
      <c r="M64" s="484"/>
      <c r="N64" s="484"/>
      <c r="O64" s="484"/>
      <c r="P64" s="484"/>
      <c r="Q64" s="484"/>
      <c r="R64" s="484"/>
      <c r="S64" s="484"/>
    </row>
    <row r="65" spans="1:19" ht="13.8" x14ac:dyDescent="0.3">
      <c r="A65" s="484"/>
      <c r="B65" s="484"/>
      <c r="C65" s="484"/>
      <c r="D65" s="484"/>
      <c r="E65" s="484"/>
      <c r="F65" s="484"/>
      <c r="G65" s="484"/>
      <c r="H65" s="484"/>
      <c r="I65" s="484"/>
      <c r="J65" s="484"/>
      <c r="K65" s="484"/>
      <c r="L65" s="484"/>
      <c r="M65" s="484"/>
      <c r="N65" s="484"/>
      <c r="O65" s="484"/>
      <c r="P65" s="484"/>
      <c r="Q65" s="484"/>
      <c r="R65" s="484"/>
      <c r="S65" s="484"/>
    </row>
    <row r="66" spans="1:19" ht="13.8" x14ac:dyDescent="0.3">
      <c r="A66" s="484"/>
      <c r="B66" s="484"/>
      <c r="C66" s="484"/>
      <c r="D66" s="484"/>
      <c r="E66" s="484"/>
      <c r="F66" s="484"/>
      <c r="G66" s="484"/>
      <c r="H66" s="484"/>
      <c r="I66" s="484"/>
      <c r="J66" s="484"/>
      <c r="K66" s="484"/>
      <c r="L66" s="484"/>
      <c r="M66" s="484"/>
      <c r="N66" s="484"/>
      <c r="O66" s="484"/>
      <c r="P66" s="484"/>
      <c r="Q66" s="484"/>
      <c r="R66" s="484"/>
      <c r="S66" s="484"/>
    </row>
    <row r="67" spans="1:19" ht="13.8" x14ac:dyDescent="0.3">
      <c r="A67" s="484"/>
      <c r="B67" s="484"/>
      <c r="C67" s="484"/>
      <c r="D67" s="484"/>
      <c r="E67" s="484"/>
      <c r="F67" s="484"/>
      <c r="G67" s="484"/>
      <c r="H67" s="484"/>
      <c r="I67" s="484"/>
      <c r="J67" s="484"/>
      <c r="K67" s="484"/>
      <c r="L67" s="484"/>
      <c r="M67" s="484"/>
      <c r="N67" s="484"/>
      <c r="O67" s="484"/>
      <c r="P67" s="484"/>
      <c r="Q67" s="484"/>
      <c r="R67" s="484"/>
      <c r="S67" s="484"/>
    </row>
    <row r="68" spans="1:19" ht="13.8" x14ac:dyDescent="0.3">
      <c r="A68" s="484"/>
      <c r="B68" s="484"/>
      <c r="C68" s="484"/>
      <c r="D68" s="484"/>
      <c r="E68" s="484"/>
      <c r="F68" s="484"/>
      <c r="G68" s="484"/>
      <c r="H68" s="484"/>
      <c r="I68" s="484"/>
      <c r="J68" s="484"/>
      <c r="K68" s="484"/>
      <c r="L68" s="484"/>
      <c r="M68" s="484"/>
      <c r="N68" s="484"/>
      <c r="O68" s="484"/>
      <c r="P68" s="484"/>
      <c r="Q68" s="484"/>
      <c r="R68" s="484"/>
      <c r="S68" s="484"/>
    </row>
    <row r="69" spans="1:19" ht="13.8" x14ac:dyDescent="0.3">
      <c r="A69" s="484"/>
      <c r="B69" s="484"/>
      <c r="C69" s="484"/>
      <c r="D69" s="484"/>
      <c r="E69" s="484"/>
      <c r="F69" s="484"/>
      <c r="G69" s="484"/>
      <c r="H69" s="484"/>
      <c r="I69" s="484"/>
      <c r="J69" s="484"/>
      <c r="K69" s="484"/>
      <c r="L69" s="484"/>
      <c r="M69" s="484"/>
      <c r="N69" s="484"/>
      <c r="O69" s="484"/>
      <c r="P69" s="484"/>
      <c r="Q69" s="484"/>
      <c r="R69" s="484"/>
      <c r="S69" s="484"/>
    </row>
    <row r="70" spans="1:19" ht="13.8" x14ac:dyDescent="0.3">
      <c r="A70" s="484"/>
      <c r="B70" s="484"/>
      <c r="C70" s="484"/>
      <c r="D70" s="484"/>
      <c r="E70" s="484"/>
      <c r="F70" s="484"/>
      <c r="G70" s="484"/>
      <c r="H70" s="484"/>
      <c r="I70" s="484"/>
      <c r="J70" s="484"/>
      <c r="K70" s="484"/>
      <c r="L70" s="484"/>
      <c r="M70" s="484"/>
      <c r="N70" s="484"/>
      <c r="O70" s="484"/>
      <c r="P70" s="484"/>
      <c r="Q70" s="484"/>
      <c r="R70" s="484"/>
      <c r="S70" s="484"/>
    </row>
    <row r="71" spans="1:19" ht="13.8" x14ac:dyDescent="0.3">
      <c r="A71" s="484"/>
      <c r="B71" s="484"/>
      <c r="C71" s="484"/>
      <c r="D71" s="484"/>
      <c r="E71" s="484"/>
      <c r="F71" s="484"/>
      <c r="G71" s="484"/>
      <c r="H71" s="484"/>
      <c r="I71" s="484"/>
      <c r="J71" s="484"/>
      <c r="K71" s="484"/>
      <c r="L71" s="484"/>
      <c r="M71" s="484"/>
      <c r="N71" s="484"/>
      <c r="O71" s="484"/>
      <c r="P71" s="484"/>
      <c r="Q71" s="484"/>
      <c r="R71" s="484"/>
      <c r="S71" s="484"/>
    </row>
    <row r="72" spans="1:19" ht="13.8" x14ac:dyDescent="0.3">
      <c r="A72" s="484"/>
      <c r="B72" s="484"/>
      <c r="C72" s="484"/>
      <c r="D72" s="484"/>
      <c r="E72" s="484"/>
      <c r="F72" s="484"/>
      <c r="G72" s="484"/>
      <c r="H72" s="484"/>
      <c r="I72" s="484"/>
      <c r="J72" s="484"/>
      <c r="K72" s="484"/>
      <c r="L72" s="484"/>
      <c r="M72" s="484"/>
      <c r="N72" s="484"/>
      <c r="O72" s="484"/>
      <c r="P72" s="484"/>
      <c r="Q72" s="484"/>
      <c r="R72" s="484"/>
      <c r="S72" s="484"/>
    </row>
    <row r="73" spans="1:19" ht="13.8" x14ac:dyDescent="0.3">
      <c r="A73" s="484"/>
      <c r="B73" s="484"/>
      <c r="C73" s="484"/>
      <c r="D73" s="484"/>
      <c r="E73" s="484"/>
      <c r="F73" s="484"/>
      <c r="G73" s="484"/>
      <c r="H73" s="484"/>
      <c r="I73" s="484"/>
      <c r="J73" s="484"/>
      <c r="K73" s="484"/>
      <c r="L73" s="484"/>
      <c r="M73" s="484"/>
      <c r="N73" s="484"/>
      <c r="O73" s="484"/>
      <c r="P73" s="484"/>
      <c r="Q73" s="484"/>
      <c r="R73" s="484"/>
      <c r="S73" s="484"/>
    </row>
    <row r="74" spans="1:19" ht="13.8" x14ac:dyDescent="0.3">
      <c r="A74" s="484"/>
      <c r="B74" s="484"/>
      <c r="C74" s="484"/>
      <c r="D74" s="484"/>
      <c r="E74" s="484"/>
      <c r="F74" s="484"/>
      <c r="G74" s="484"/>
      <c r="H74" s="484"/>
      <c r="I74" s="484"/>
      <c r="J74" s="484"/>
      <c r="K74" s="484"/>
      <c r="L74" s="484"/>
      <c r="M74" s="484"/>
      <c r="N74" s="484"/>
      <c r="O74" s="484"/>
      <c r="P74" s="484"/>
      <c r="Q74" s="484"/>
      <c r="R74" s="484"/>
      <c r="S74" s="484"/>
    </row>
    <row r="75" spans="1:19" ht="13.8" x14ac:dyDescent="0.3">
      <c r="A75" s="484"/>
      <c r="B75" s="484"/>
      <c r="C75" s="484"/>
      <c r="D75" s="484"/>
      <c r="E75" s="484"/>
      <c r="F75" s="484"/>
      <c r="G75" s="484"/>
      <c r="H75" s="484"/>
      <c r="I75" s="484"/>
      <c r="J75" s="484"/>
      <c r="K75" s="484"/>
      <c r="L75" s="484"/>
      <c r="M75" s="484"/>
      <c r="N75" s="484"/>
      <c r="O75" s="484"/>
      <c r="P75" s="484"/>
      <c r="Q75" s="484"/>
      <c r="R75" s="484"/>
      <c r="S75" s="484"/>
    </row>
    <row r="76" spans="1:19" ht="13.8" x14ac:dyDescent="0.3">
      <c r="A76" s="484"/>
      <c r="B76" s="484"/>
      <c r="C76" s="484"/>
      <c r="D76" s="484"/>
      <c r="E76" s="484"/>
      <c r="F76" s="484"/>
      <c r="G76" s="484"/>
      <c r="H76" s="484"/>
      <c r="I76" s="484"/>
      <c r="J76" s="484"/>
      <c r="K76" s="484"/>
      <c r="L76" s="484"/>
      <c r="M76" s="484"/>
      <c r="N76" s="484"/>
      <c r="O76" s="484"/>
      <c r="P76" s="484"/>
      <c r="Q76" s="484"/>
      <c r="R76" s="484"/>
      <c r="S76" s="484"/>
    </row>
    <row r="77" spans="1:19" ht="13.8" x14ac:dyDescent="0.3">
      <c r="A77" s="484"/>
      <c r="B77" s="484"/>
      <c r="C77" s="484"/>
      <c r="D77" s="484"/>
      <c r="E77" s="484"/>
      <c r="F77" s="484"/>
      <c r="G77" s="484"/>
      <c r="H77" s="484"/>
      <c r="I77" s="484"/>
      <c r="J77" s="484"/>
      <c r="K77" s="484"/>
      <c r="L77" s="484"/>
      <c r="M77" s="484"/>
      <c r="N77" s="484"/>
      <c r="O77" s="484"/>
      <c r="P77" s="484"/>
      <c r="Q77" s="484"/>
      <c r="R77" s="484"/>
      <c r="S77" s="484"/>
    </row>
    <row r="78" spans="1:19" ht="13.8" x14ac:dyDescent="0.3">
      <c r="A78" s="484"/>
      <c r="B78" s="484"/>
      <c r="C78" s="484"/>
      <c r="D78" s="484"/>
      <c r="E78" s="484"/>
      <c r="F78" s="484"/>
      <c r="G78" s="484"/>
      <c r="H78" s="484"/>
      <c r="I78" s="484"/>
      <c r="J78" s="484"/>
      <c r="K78" s="484"/>
      <c r="L78" s="484"/>
      <c r="M78" s="484"/>
      <c r="N78" s="484"/>
      <c r="O78" s="484"/>
      <c r="P78" s="484"/>
      <c r="Q78" s="484"/>
      <c r="R78" s="484"/>
      <c r="S78" s="484"/>
    </row>
    <row r="79" spans="1:19" ht="13.8" x14ac:dyDescent="0.3">
      <c r="A79" s="484"/>
      <c r="B79" s="484"/>
      <c r="C79" s="484"/>
      <c r="D79" s="484"/>
      <c r="E79" s="484"/>
      <c r="F79" s="484"/>
      <c r="G79" s="484"/>
      <c r="H79" s="484"/>
      <c r="I79" s="484"/>
      <c r="J79" s="484"/>
      <c r="K79" s="484"/>
      <c r="L79" s="484"/>
      <c r="M79" s="484"/>
      <c r="N79" s="484"/>
      <c r="O79" s="484"/>
      <c r="P79" s="484"/>
      <c r="Q79" s="484"/>
      <c r="R79" s="484"/>
      <c r="S79" s="484"/>
    </row>
    <row r="80" spans="1:19" ht="13.8" x14ac:dyDescent="0.3">
      <c r="A80" s="484"/>
      <c r="B80" s="484"/>
      <c r="C80" s="484"/>
      <c r="D80" s="484"/>
      <c r="E80" s="484"/>
      <c r="F80" s="484"/>
      <c r="G80" s="484"/>
      <c r="H80" s="484"/>
      <c r="I80" s="484"/>
      <c r="J80" s="484"/>
      <c r="K80" s="484"/>
      <c r="L80" s="484"/>
      <c r="M80" s="484"/>
      <c r="N80" s="484"/>
      <c r="O80" s="484"/>
      <c r="P80" s="484"/>
      <c r="Q80" s="484"/>
      <c r="R80" s="484"/>
      <c r="S80" s="484"/>
    </row>
    <row r="81" spans="1:19" ht="13.8" x14ac:dyDescent="0.3">
      <c r="A81" s="484"/>
      <c r="B81" s="484"/>
      <c r="C81" s="484"/>
      <c r="D81" s="484"/>
      <c r="E81" s="484"/>
      <c r="F81" s="484"/>
      <c r="G81" s="484"/>
      <c r="H81" s="484"/>
      <c r="I81" s="484"/>
      <c r="J81" s="484"/>
      <c r="K81" s="484"/>
      <c r="L81" s="484"/>
      <c r="M81" s="484"/>
      <c r="N81" s="484"/>
      <c r="O81" s="484"/>
      <c r="P81" s="484"/>
      <c r="Q81" s="484"/>
      <c r="R81" s="484"/>
      <c r="S81" s="484"/>
    </row>
    <row r="82" spans="1:19" ht="13.8" x14ac:dyDescent="0.3">
      <c r="A82" s="484"/>
      <c r="B82" s="484"/>
      <c r="C82" s="484"/>
      <c r="D82" s="484"/>
      <c r="E82" s="484"/>
      <c r="F82" s="484"/>
      <c r="G82" s="484"/>
      <c r="H82" s="484"/>
      <c r="I82" s="484"/>
      <c r="J82" s="484"/>
      <c r="K82" s="484"/>
      <c r="L82" s="484"/>
      <c r="M82" s="484"/>
      <c r="N82" s="484"/>
      <c r="O82" s="484"/>
      <c r="P82" s="484"/>
      <c r="Q82" s="484"/>
      <c r="R82" s="484"/>
      <c r="S82" s="484"/>
    </row>
    <row r="83" spans="1:19" ht="13.8" x14ac:dyDescent="0.3">
      <c r="A83" s="484"/>
      <c r="B83" s="484"/>
      <c r="C83" s="484"/>
      <c r="D83" s="484"/>
      <c r="E83" s="484"/>
      <c r="F83" s="484"/>
      <c r="G83" s="484"/>
      <c r="H83" s="484"/>
      <c r="I83" s="484"/>
      <c r="J83" s="484"/>
      <c r="K83" s="484"/>
      <c r="L83" s="484"/>
      <c r="M83" s="484"/>
      <c r="N83" s="484"/>
      <c r="O83" s="484"/>
      <c r="P83" s="484"/>
      <c r="Q83" s="484"/>
      <c r="R83" s="484"/>
      <c r="S83" s="484"/>
    </row>
    <row r="84" spans="1:19" ht="13.8" x14ac:dyDescent="0.3">
      <c r="A84" s="484"/>
      <c r="B84" s="484"/>
      <c r="C84" s="484"/>
      <c r="D84" s="484"/>
      <c r="E84" s="484"/>
      <c r="F84" s="484"/>
      <c r="G84" s="484"/>
      <c r="H84" s="484"/>
      <c r="I84" s="484"/>
      <c r="J84" s="484"/>
      <c r="K84" s="484"/>
      <c r="L84" s="484"/>
      <c r="M84" s="484"/>
      <c r="N84" s="484"/>
      <c r="O84" s="484"/>
      <c r="P84" s="484"/>
      <c r="Q84" s="484"/>
      <c r="R84" s="484"/>
      <c r="S84" s="484"/>
    </row>
    <row r="85" spans="1:19" ht="13.8" x14ac:dyDescent="0.3">
      <c r="A85" s="484"/>
      <c r="B85" s="484"/>
      <c r="C85" s="484"/>
      <c r="D85" s="484"/>
      <c r="E85" s="484"/>
      <c r="F85" s="484"/>
      <c r="G85" s="484"/>
      <c r="H85" s="484"/>
      <c r="I85" s="484"/>
      <c r="J85" s="484"/>
      <c r="K85" s="484"/>
      <c r="L85" s="484"/>
      <c r="M85" s="484"/>
      <c r="N85" s="484"/>
      <c r="O85" s="484"/>
      <c r="P85" s="484"/>
      <c r="Q85" s="484"/>
      <c r="R85" s="484"/>
      <c r="S85" s="484"/>
    </row>
    <row r="86" spans="1:19" ht="13.8" x14ac:dyDescent="0.3">
      <c r="A86" s="484"/>
      <c r="B86" s="484"/>
      <c r="C86" s="484"/>
      <c r="D86" s="484"/>
      <c r="E86" s="484"/>
      <c r="F86" s="484"/>
      <c r="G86" s="484"/>
      <c r="H86" s="484"/>
      <c r="I86" s="484"/>
      <c r="J86" s="484"/>
      <c r="K86" s="484"/>
      <c r="L86" s="484"/>
      <c r="M86" s="484"/>
      <c r="N86" s="484"/>
      <c r="O86" s="484"/>
      <c r="P86" s="484"/>
      <c r="Q86" s="484"/>
      <c r="R86" s="484"/>
      <c r="S86" s="484"/>
    </row>
    <row r="87" spans="1:19" ht="13.8" x14ac:dyDescent="0.3">
      <c r="A87" s="484"/>
      <c r="B87" s="484"/>
      <c r="C87" s="484"/>
      <c r="D87" s="484"/>
      <c r="E87" s="484"/>
      <c r="F87" s="484"/>
      <c r="G87" s="484"/>
      <c r="H87" s="484"/>
      <c r="I87" s="484"/>
      <c r="J87" s="484"/>
      <c r="K87" s="484"/>
      <c r="L87" s="484"/>
      <c r="M87" s="484"/>
      <c r="N87" s="484"/>
      <c r="O87" s="484"/>
      <c r="P87" s="484"/>
      <c r="Q87" s="484"/>
      <c r="R87" s="484"/>
      <c r="S87" s="484"/>
    </row>
    <row r="88" spans="1:19" ht="13.8" x14ac:dyDescent="0.3">
      <c r="A88" s="484"/>
      <c r="B88" s="484"/>
      <c r="C88" s="484"/>
      <c r="D88" s="484"/>
      <c r="E88" s="484"/>
      <c r="F88" s="484"/>
      <c r="G88" s="484"/>
      <c r="H88" s="484"/>
      <c r="I88" s="484"/>
      <c r="J88" s="484"/>
      <c r="K88" s="484"/>
      <c r="L88" s="484"/>
      <c r="M88" s="484"/>
      <c r="N88" s="484"/>
      <c r="O88" s="484"/>
      <c r="P88" s="484"/>
      <c r="Q88" s="484"/>
      <c r="R88" s="484"/>
      <c r="S88" s="484"/>
    </row>
    <row r="89" spans="1:19" ht="13.8" x14ac:dyDescent="0.3">
      <c r="A89" s="484"/>
      <c r="B89" s="484"/>
      <c r="C89" s="484"/>
      <c r="D89" s="484"/>
      <c r="E89" s="484"/>
      <c r="F89" s="484"/>
      <c r="G89" s="484"/>
      <c r="H89" s="484"/>
      <c r="I89" s="484"/>
      <c r="J89" s="484"/>
      <c r="K89" s="484"/>
      <c r="L89" s="484"/>
      <c r="M89" s="484"/>
      <c r="N89" s="484"/>
      <c r="O89" s="484"/>
      <c r="P89" s="484"/>
      <c r="Q89" s="484"/>
      <c r="R89" s="484"/>
      <c r="S89" s="484"/>
    </row>
    <row r="90" spans="1:19" ht="13.8" x14ac:dyDescent="0.3">
      <c r="A90" s="484"/>
      <c r="B90" s="484"/>
      <c r="C90" s="484"/>
      <c r="D90" s="484"/>
      <c r="E90" s="484"/>
      <c r="F90" s="484"/>
      <c r="G90" s="484"/>
      <c r="H90" s="484"/>
      <c r="I90" s="484"/>
      <c r="J90" s="484"/>
      <c r="K90" s="484"/>
      <c r="L90" s="484"/>
      <c r="M90" s="484"/>
      <c r="N90" s="484"/>
      <c r="O90" s="484"/>
      <c r="P90" s="484"/>
      <c r="Q90" s="484"/>
      <c r="R90" s="484"/>
      <c r="S90" s="484"/>
    </row>
    <row r="91" spans="1:19" ht="13.8" x14ac:dyDescent="0.3">
      <c r="A91" s="484"/>
      <c r="B91" s="484"/>
      <c r="C91" s="484"/>
      <c r="D91" s="484"/>
      <c r="E91" s="484"/>
      <c r="F91" s="484"/>
      <c r="G91" s="484"/>
      <c r="H91" s="484"/>
      <c r="I91" s="484"/>
      <c r="J91" s="484"/>
      <c r="K91" s="484"/>
      <c r="L91" s="484"/>
      <c r="M91" s="484"/>
      <c r="N91" s="484"/>
      <c r="O91" s="484"/>
      <c r="P91" s="484"/>
      <c r="Q91" s="484"/>
      <c r="R91" s="484"/>
      <c r="S91" s="484"/>
    </row>
    <row r="92" spans="1:19" ht="13.8" x14ac:dyDescent="0.3">
      <c r="A92" s="484"/>
      <c r="B92" s="484"/>
      <c r="C92" s="484"/>
      <c r="D92" s="484"/>
      <c r="E92" s="484"/>
      <c r="F92" s="484"/>
      <c r="G92" s="484"/>
      <c r="H92" s="484"/>
      <c r="I92" s="484"/>
      <c r="J92" s="484"/>
      <c r="K92" s="484"/>
      <c r="L92" s="484"/>
      <c r="M92" s="484"/>
      <c r="N92" s="484"/>
      <c r="O92" s="484"/>
      <c r="P92" s="484"/>
      <c r="Q92" s="484"/>
      <c r="R92" s="484"/>
      <c r="S92" s="484"/>
    </row>
    <row r="93" spans="1:19" ht="13.8" x14ac:dyDescent="0.3">
      <c r="A93" s="484"/>
      <c r="B93" s="484"/>
      <c r="C93" s="484"/>
      <c r="D93" s="484"/>
      <c r="E93" s="484"/>
      <c r="F93" s="484"/>
      <c r="G93" s="484"/>
      <c r="H93" s="484"/>
      <c r="I93" s="484"/>
      <c r="J93" s="484"/>
      <c r="K93" s="484"/>
      <c r="L93" s="484"/>
      <c r="M93" s="484"/>
      <c r="N93" s="484"/>
      <c r="O93" s="484"/>
      <c r="P93" s="484"/>
      <c r="Q93" s="484"/>
      <c r="R93" s="484"/>
      <c r="S93" s="484"/>
    </row>
    <row r="94" spans="1:19" ht="13.8" x14ac:dyDescent="0.3">
      <c r="A94" s="484"/>
      <c r="B94" s="484"/>
      <c r="C94" s="484"/>
      <c r="D94" s="484"/>
      <c r="E94" s="484"/>
      <c r="F94" s="484"/>
      <c r="G94" s="484"/>
      <c r="H94" s="484"/>
      <c r="I94" s="484"/>
      <c r="J94" s="484"/>
      <c r="K94" s="484"/>
      <c r="L94" s="484"/>
      <c r="M94" s="484"/>
      <c r="N94" s="484"/>
      <c r="O94" s="484"/>
      <c r="P94" s="484"/>
      <c r="Q94" s="484"/>
      <c r="R94" s="484"/>
      <c r="S94" s="484"/>
    </row>
    <row r="95" spans="1:19" ht="13.8" x14ac:dyDescent="0.3">
      <c r="A95" s="484"/>
      <c r="B95" s="484"/>
      <c r="C95" s="484"/>
      <c r="D95" s="484"/>
      <c r="E95" s="484"/>
      <c r="F95" s="484"/>
      <c r="G95" s="484"/>
      <c r="H95" s="484"/>
      <c r="I95" s="484"/>
      <c r="J95" s="484"/>
      <c r="K95" s="484"/>
      <c r="L95" s="484"/>
      <c r="M95" s="484"/>
      <c r="N95" s="484"/>
      <c r="O95" s="484"/>
      <c r="P95" s="484"/>
      <c r="Q95" s="484"/>
      <c r="R95" s="484"/>
      <c r="S95" s="484"/>
    </row>
    <row r="96" spans="1:19" ht="13.8" x14ac:dyDescent="0.3">
      <c r="A96" s="484"/>
      <c r="B96" s="484"/>
      <c r="C96" s="484"/>
      <c r="D96" s="484"/>
      <c r="E96" s="484"/>
      <c r="F96" s="484"/>
      <c r="G96" s="484"/>
      <c r="H96" s="484"/>
      <c r="I96" s="484"/>
      <c r="J96" s="484"/>
      <c r="K96" s="484"/>
      <c r="L96" s="484"/>
      <c r="M96" s="484"/>
      <c r="N96" s="484"/>
      <c r="O96" s="484"/>
      <c r="P96" s="484"/>
      <c r="Q96" s="484"/>
      <c r="R96" s="484"/>
      <c r="S96" s="484"/>
    </row>
    <row r="97" spans="1:19" ht="13.8" x14ac:dyDescent="0.3">
      <c r="A97" s="484"/>
      <c r="B97" s="484"/>
      <c r="C97" s="484"/>
      <c r="D97" s="484"/>
      <c r="E97" s="484"/>
      <c r="F97" s="484"/>
      <c r="G97" s="484"/>
      <c r="H97" s="484"/>
      <c r="I97" s="484"/>
      <c r="J97" s="484"/>
      <c r="K97" s="484"/>
      <c r="L97" s="484"/>
      <c r="M97" s="484"/>
      <c r="N97" s="484"/>
      <c r="O97" s="484"/>
      <c r="P97" s="484"/>
      <c r="Q97" s="484"/>
      <c r="R97" s="484"/>
      <c r="S97" s="484"/>
    </row>
    <row r="98" spans="1:19" ht="13.8" x14ac:dyDescent="0.3">
      <c r="A98" s="484"/>
      <c r="B98" s="484"/>
      <c r="C98" s="484"/>
      <c r="D98" s="484"/>
      <c r="E98" s="484"/>
      <c r="F98" s="484"/>
      <c r="G98" s="484"/>
      <c r="H98" s="484"/>
      <c r="I98" s="484"/>
      <c r="J98" s="484"/>
      <c r="K98" s="484"/>
      <c r="L98" s="484"/>
      <c r="M98" s="484"/>
      <c r="N98" s="484"/>
      <c r="O98" s="484"/>
      <c r="P98" s="484"/>
      <c r="Q98" s="484"/>
      <c r="R98" s="484"/>
      <c r="S98" s="484"/>
    </row>
    <row r="99" spans="1:19" ht="13.8" x14ac:dyDescent="0.3">
      <c r="A99" s="484"/>
      <c r="B99" s="484"/>
      <c r="C99" s="484"/>
      <c r="D99" s="484"/>
      <c r="E99" s="484"/>
      <c r="F99" s="484"/>
      <c r="G99" s="484"/>
      <c r="H99" s="484"/>
      <c r="I99" s="484"/>
      <c r="J99" s="484"/>
      <c r="K99" s="484"/>
      <c r="L99" s="484"/>
      <c r="M99" s="484"/>
      <c r="N99" s="484"/>
      <c r="O99" s="484"/>
      <c r="P99" s="484"/>
      <c r="Q99" s="484"/>
      <c r="R99" s="484"/>
      <c r="S99" s="484"/>
    </row>
    <row r="100" spans="1:19" ht="13.8" x14ac:dyDescent="0.3">
      <c r="A100" s="484"/>
      <c r="B100" s="484"/>
      <c r="C100" s="484"/>
      <c r="D100" s="484"/>
      <c r="E100" s="484"/>
      <c r="F100" s="484"/>
      <c r="G100" s="484"/>
      <c r="H100" s="484"/>
      <c r="I100" s="484"/>
      <c r="J100" s="484"/>
      <c r="K100" s="484"/>
      <c r="L100" s="484"/>
      <c r="M100" s="484"/>
      <c r="N100" s="484"/>
      <c r="O100" s="484"/>
      <c r="P100" s="484"/>
      <c r="Q100" s="484"/>
      <c r="R100" s="484"/>
      <c r="S100" s="484"/>
    </row>
    <row r="101" spans="1:19" ht="13.8" x14ac:dyDescent="0.3">
      <c r="A101" s="484"/>
      <c r="B101" s="484"/>
      <c r="C101" s="484"/>
      <c r="D101" s="484"/>
      <c r="E101" s="484"/>
      <c r="F101" s="484"/>
      <c r="G101" s="484"/>
      <c r="H101" s="484"/>
      <c r="I101" s="484"/>
      <c r="J101" s="484"/>
      <c r="K101" s="484"/>
      <c r="L101" s="484"/>
      <c r="M101" s="484"/>
      <c r="N101" s="484"/>
      <c r="O101" s="484"/>
      <c r="P101" s="484"/>
      <c r="Q101" s="484"/>
      <c r="R101" s="484"/>
      <c r="S101" s="484"/>
    </row>
    <row r="102" spans="1:19" ht="13.8" x14ac:dyDescent="0.3">
      <c r="A102" s="484"/>
      <c r="B102" s="484"/>
      <c r="C102" s="484"/>
      <c r="D102" s="484"/>
      <c r="E102" s="484"/>
      <c r="F102" s="484"/>
      <c r="G102" s="484"/>
      <c r="H102" s="484"/>
      <c r="I102" s="484"/>
      <c r="J102" s="484"/>
      <c r="K102" s="484"/>
      <c r="L102" s="484"/>
      <c r="M102" s="484"/>
      <c r="N102" s="484"/>
      <c r="O102" s="484"/>
      <c r="P102" s="484"/>
      <c r="Q102" s="484"/>
      <c r="R102" s="484"/>
      <c r="S102" s="484"/>
    </row>
    <row r="103" spans="1:19" ht="13.8" x14ac:dyDescent="0.3">
      <c r="A103" s="484"/>
      <c r="B103" s="484"/>
      <c r="C103" s="484"/>
      <c r="D103" s="484"/>
      <c r="E103" s="484"/>
      <c r="F103" s="484"/>
      <c r="G103" s="484"/>
      <c r="H103" s="484"/>
      <c r="I103" s="484"/>
      <c r="J103" s="484"/>
      <c r="K103" s="484"/>
      <c r="L103" s="484"/>
      <c r="M103" s="484"/>
      <c r="N103" s="484"/>
      <c r="O103" s="484"/>
      <c r="P103" s="484"/>
      <c r="Q103" s="484"/>
      <c r="R103" s="484"/>
      <c r="S103" s="484"/>
    </row>
    <row r="104" spans="1:19" ht="13.8" x14ac:dyDescent="0.3">
      <c r="A104" s="484"/>
      <c r="B104" s="484"/>
      <c r="C104" s="484"/>
      <c r="D104" s="484"/>
      <c r="E104" s="484"/>
      <c r="F104" s="484"/>
      <c r="G104" s="484"/>
      <c r="H104" s="484"/>
      <c r="I104" s="484"/>
      <c r="J104" s="484"/>
      <c r="K104" s="484"/>
      <c r="L104" s="484"/>
      <c r="M104" s="484"/>
      <c r="N104" s="484"/>
      <c r="O104" s="484"/>
      <c r="P104" s="484"/>
      <c r="Q104" s="484"/>
      <c r="R104" s="484"/>
      <c r="S104" s="484"/>
    </row>
    <row r="105" spans="1:19" ht="13.8" x14ac:dyDescent="0.3">
      <c r="A105" s="484"/>
      <c r="B105" s="484"/>
      <c r="C105" s="484"/>
      <c r="D105" s="484"/>
      <c r="E105" s="484"/>
      <c r="F105" s="484"/>
      <c r="G105" s="484"/>
      <c r="H105" s="484"/>
      <c r="I105" s="484"/>
      <c r="J105" s="484"/>
      <c r="K105" s="484"/>
      <c r="L105" s="484"/>
      <c r="M105" s="484"/>
      <c r="N105" s="484"/>
      <c r="O105" s="484"/>
      <c r="P105" s="484"/>
      <c r="Q105" s="484"/>
      <c r="R105" s="484"/>
      <c r="S105" s="484"/>
    </row>
    <row r="106" spans="1:19" ht="13.8" x14ac:dyDescent="0.3">
      <c r="A106" s="484"/>
      <c r="B106" s="484"/>
      <c r="C106" s="484"/>
      <c r="D106" s="484"/>
      <c r="E106" s="484"/>
      <c r="F106" s="484"/>
      <c r="G106" s="484"/>
      <c r="H106" s="484"/>
      <c r="I106" s="484"/>
      <c r="J106" s="484"/>
      <c r="K106" s="484"/>
      <c r="L106" s="484"/>
      <c r="M106" s="484"/>
      <c r="N106" s="484"/>
      <c r="O106" s="484"/>
      <c r="P106" s="484"/>
      <c r="Q106" s="484"/>
      <c r="R106" s="484"/>
      <c r="S106" s="484"/>
    </row>
    <row r="107" spans="1:19" ht="13.8" x14ac:dyDescent="0.3">
      <c r="A107" s="484"/>
      <c r="B107" s="484"/>
      <c r="C107" s="484"/>
      <c r="D107" s="484"/>
      <c r="E107" s="484"/>
      <c r="F107" s="484"/>
      <c r="G107" s="484"/>
      <c r="H107" s="484"/>
      <c r="I107" s="484"/>
      <c r="J107" s="484"/>
      <c r="K107" s="484"/>
      <c r="L107" s="484"/>
      <c r="M107" s="484"/>
      <c r="N107" s="484"/>
      <c r="O107" s="484"/>
      <c r="P107" s="484"/>
      <c r="Q107" s="484"/>
      <c r="R107" s="484"/>
      <c r="S107" s="484"/>
    </row>
    <row r="108" spans="1:19" ht="13.8" x14ac:dyDescent="0.3">
      <c r="A108" s="484"/>
      <c r="B108" s="484"/>
      <c r="C108" s="484"/>
      <c r="D108" s="484"/>
      <c r="E108" s="484"/>
      <c r="F108" s="484"/>
      <c r="G108" s="484"/>
      <c r="H108" s="484"/>
      <c r="I108" s="484"/>
      <c r="J108" s="484"/>
      <c r="K108" s="484"/>
      <c r="L108" s="484"/>
      <c r="M108" s="484"/>
      <c r="N108" s="484"/>
      <c r="O108" s="484"/>
      <c r="P108" s="484"/>
      <c r="Q108" s="484"/>
      <c r="R108" s="484"/>
      <c r="S108" s="484"/>
    </row>
    <row r="109" spans="1:19" ht="13.8" x14ac:dyDescent="0.3">
      <c r="A109" s="484"/>
      <c r="B109" s="484"/>
      <c r="C109" s="484"/>
      <c r="D109" s="484"/>
      <c r="E109" s="484"/>
      <c r="F109" s="484"/>
      <c r="G109" s="484"/>
      <c r="H109" s="484"/>
      <c r="I109" s="484"/>
      <c r="J109" s="484"/>
      <c r="K109" s="484"/>
      <c r="L109" s="484"/>
      <c r="M109" s="484"/>
      <c r="N109" s="484"/>
      <c r="O109" s="484"/>
      <c r="P109" s="484"/>
      <c r="Q109" s="484"/>
      <c r="R109" s="484"/>
      <c r="S109" s="484"/>
    </row>
    <row r="110" spans="1:19" ht="13.8" x14ac:dyDescent="0.3">
      <c r="A110" s="484"/>
      <c r="B110" s="484"/>
      <c r="C110" s="484"/>
      <c r="D110" s="484"/>
      <c r="E110" s="484"/>
      <c r="F110" s="484"/>
      <c r="G110" s="484"/>
      <c r="H110" s="484"/>
      <c r="I110" s="484"/>
      <c r="J110" s="484"/>
      <c r="K110" s="484"/>
      <c r="L110" s="484"/>
      <c r="M110" s="484"/>
      <c r="N110" s="484"/>
      <c r="O110" s="484"/>
      <c r="P110" s="484"/>
      <c r="Q110" s="484"/>
      <c r="R110" s="484"/>
      <c r="S110" s="484"/>
    </row>
    <row r="111" spans="1:19" ht="13.8" x14ac:dyDescent="0.3">
      <c r="A111" s="484"/>
      <c r="B111" s="484"/>
      <c r="C111" s="484"/>
      <c r="D111" s="484"/>
      <c r="E111" s="484"/>
      <c r="F111" s="484"/>
      <c r="G111" s="484"/>
      <c r="H111" s="484"/>
      <c r="I111" s="484"/>
      <c r="J111" s="484"/>
      <c r="K111" s="484"/>
      <c r="L111" s="484"/>
      <c r="M111" s="484"/>
      <c r="N111" s="484"/>
      <c r="O111" s="484"/>
      <c r="P111" s="484"/>
      <c r="Q111" s="484"/>
      <c r="R111" s="484"/>
      <c r="S111" s="484"/>
    </row>
    <row r="112" spans="1:19" ht="13.8" x14ac:dyDescent="0.3">
      <c r="A112" s="484"/>
      <c r="B112" s="484"/>
      <c r="C112" s="484"/>
      <c r="D112" s="484"/>
      <c r="E112" s="484"/>
      <c r="F112" s="484"/>
      <c r="G112" s="484"/>
      <c r="H112" s="484"/>
      <c r="I112" s="484"/>
      <c r="J112" s="484"/>
      <c r="K112" s="484"/>
      <c r="L112" s="484"/>
      <c r="M112" s="484"/>
      <c r="N112" s="484"/>
      <c r="O112" s="484"/>
      <c r="P112" s="484"/>
      <c r="Q112" s="484"/>
      <c r="R112" s="484"/>
      <c r="S112" s="484"/>
    </row>
    <row r="113" spans="1:19" ht="13.8" x14ac:dyDescent="0.3">
      <c r="A113" s="484"/>
      <c r="B113" s="484"/>
      <c r="C113" s="484"/>
      <c r="D113" s="484"/>
      <c r="E113" s="484"/>
      <c r="F113" s="484"/>
      <c r="G113" s="484"/>
      <c r="H113" s="484"/>
      <c r="I113" s="484"/>
      <c r="J113" s="484"/>
      <c r="K113" s="484"/>
      <c r="L113" s="484"/>
      <c r="M113" s="484"/>
      <c r="N113" s="484"/>
      <c r="O113" s="484"/>
      <c r="P113" s="484"/>
      <c r="Q113" s="484"/>
      <c r="R113" s="484"/>
      <c r="S113" s="484"/>
    </row>
    <row r="114" spans="1:19" ht="13.8" x14ac:dyDescent="0.3">
      <c r="A114" s="484"/>
      <c r="B114" s="484"/>
      <c r="C114" s="484"/>
      <c r="D114" s="484"/>
      <c r="E114" s="484"/>
      <c r="F114" s="484"/>
      <c r="G114" s="484"/>
      <c r="H114" s="484"/>
      <c r="I114" s="484"/>
      <c r="J114" s="484"/>
      <c r="K114" s="484"/>
      <c r="L114" s="484"/>
      <c r="M114" s="484"/>
      <c r="N114" s="484"/>
      <c r="O114" s="484"/>
      <c r="P114" s="484"/>
      <c r="Q114" s="484"/>
      <c r="R114" s="484"/>
      <c r="S114" s="484"/>
    </row>
    <row r="115" spans="1:19" ht="13.8" x14ac:dyDescent="0.3">
      <c r="A115" s="484"/>
      <c r="B115" s="484"/>
      <c r="C115" s="484"/>
      <c r="D115" s="484"/>
      <c r="E115" s="484"/>
      <c r="F115" s="484"/>
      <c r="G115" s="484"/>
      <c r="H115" s="484"/>
      <c r="I115" s="484"/>
      <c r="J115" s="484"/>
      <c r="K115" s="484"/>
      <c r="L115" s="484"/>
      <c r="M115" s="484"/>
      <c r="N115" s="484"/>
      <c r="O115" s="484"/>
      <c r="P115" s="484"/>
      <c r="Q115" s="484"/>
      <c r="R115" s="484"/>
      <c r="S115" s="484"/>
    </row>
    <row r="116" spans="1:19" ht="13.8" x14ac:dyDescent="0.3">
      <c r="A116" s="484"/>
      <c r="B116" s="484"/>
      <c r="C116" s="484"/>
      <c r="D116" s="484"/>
      <c r="E116" s="484"/>
      <c r="F116" s="484"/>
      <c r="G116" s="484"/>
      <c r="H116" s="484"/>
      <c r="I116" s="484"/>
      <c r="J116" s="484"/>
      <c r="K116" s="484"/>
      <c r="L116" s="484"/>
      <c r="M116" s="484"/>
      <c r="N116" s="484"/>
      <c r="O116" s="484"/>
      <c r="P116" s="484"/>
      <c r="Q116" s="484"/>
      <c r="R116" s="484"/>
      <c r="S116" s="484"/>
    </row>
    <row r="117" spans="1:19" ht="13.8" x14ac:dyDescent="0.3">
      <c r="A117" s="484"/>
      <c r="B117" s="484"/>
      <c r="C117" s="484"/>
      <c r="D117" s="484"/>
      <c r="E117" s="484"/>
      <c r="F117" s="484"/>
      <c r="G117" s="484"/>
      <c r="H117" s="484"/>
      <c r="I117" s="484"/>
      <c r="J117" s="484"/>
      <c r="K117" s="484"/>
      <c r="L117" s="484"/>
      <c r="M117" s="484"/>
      <c r="N117" s="484"/>
      <c r="O117" s="484"/>
      <c r="P117" s="484"/>
      <c r="Q117" s="484"/>
      <c r="R117" s="484"/>
      <c r="S117" s="484"/>
    </row>
    <row r="118" spans="1:19" ht="13.8" x14ac:dyDescent="0.3">
      <c r="A118" s="484"/>
      <c r="B118" s="484"/>
      <c r="C118" s="484"/>
      <c r="D118" s="484"/>
      <c r="E118" s="484"/>
      <c r="F118" s="484"/>
      <c r="G118" s="484"/>
      <c r="H118" s="484"/>
      <c r="I118" s="484"/>
      <c r="J118" s="484"/>
      <c r="K118" s="484"/>
      <c r="L118" s="484"/>
      <c r="M118" s="484"/>
      <c r="N118" s="484"/>
      <c r="O118" s="484"/>
      <c r="P118" s="484"/>
      <c r="Q118" s="484"/>
      <c r="R118" s="484"/>
      <c r="S118" s="484"/>
    </row>
    <row r="119" spans="1:19" ht="13.8" x14ac:dyDescent="0.3">
      <c r="A119" s="484"/>
      <c r="B119" s="484"/>
      <c r="C119" s="484"/>
      <c r="D119" s="484"/>
      <c r="E119" s="484"/>
      <c r="F119" s="484"/>
      <c r="G119" s="484"/>
      <c r="H119" s="484"/>
      <c r="I119" s="484"/>
      <c r="J119" s="484"/>
      <c r="K119" s="484"/>
      <c r="L119" s="484"/>
      <c r="M119" s="484"/>
      <c r="N119" s="484"/>
      <c r="O119" s="484"/>
      <c r="P119" s="484"/>
      <c r="Q119" s="484"/>
      <c r="R119" s="484"/>
      <c r="S119" s="484"/>
    </row>
    <row r="120" spans="1:19" ht="13.8" x14ac:dyDescent="0.3">
      <c r="A120" s="484"/>
      <c r="B120" s="484"/>
      <c r="C120" s="484"/>
      <c r="D120" s="484"/>
      <c r="E120" s="484"/>
      <c r="F120" s="484"/>
      <c r="G120" s="484"/>
      <c r="H120" s="484"/>
      <c r="I120" s="484"/>
      <c r="J120" s="484"/>
      <c r="K120" s="484"/>
      <c r="L120" s="484"/>
      <c r="M120" s="484"/>
      <c r="N120" s="484"/>
      <c r="O120" s="484"/>
      <c r="P120" s="484"/>
      <c r="Q120" s="484"/>
      <c r="R120" s="484"/>
      <c r="S120" s="484"/>
    </row>
    <row r="121" spans="1:19" ht="13.8" x14ac:dyDescent="0.3">
      <c r="A121" s="484"/>
      <c r="B121" s="484"/>
      <c r="C121" s="484"/>
      <c r="D121" s="484"/>
      <c r="E121" s="484"/>
      <c r="F121" s="484"/>
      <c r="G121" s="484"/>
      <c r="H121" s="484"/>
      <c r="I121" s="484"/>
      <c r="J121" s="484"/>
      <c r="K121" s="484"/>
      <c r="L121" s="484"/>
      <c r="M121" s="484"/>
      <c r="N121" s="484"/>
      <c r="O121" s="484"/>
      <c r="P121" s="484"/>
      <c r="Q121" s="484"/>
      <c r="R121" s="484"/>
      <c r="S121" s="484"/>
    </row>
    <row r="122" spans="1:19" ht="13.8" x14ac:dyDescent="0.3">
      <c r="A122" s="484"/>
      <c r="B122" s="484"/>
      <c r="C122" s="484"/>
      <c r="D122" s="484"/>
      <c r="E122" s="484"/>
      <c r="F122" s="484"/>
      <c r="G122" s="484"/>
      <c r="H122" s="484"/>
      <c r="I122" s="484"/>
      <c r="J122" s="484"/>
      <c r="K122" s="484"/>
      <c r="L122" s="484"/>
      <c r="M122" s="484"/>
      <c r="N122" s="484"/>
      <c r="O122" s="484"/>
      <c r="P122" s="484"/>
      <c r="Q122" s="484"/>
      <c r="R122" s="484"/>
      <c r="S122" s="484"/>
    </row>
    <row r="123" spans="1:19" ht="13.8" x14ac:dyDescent="0.3">
      <c r="A123" s="484"/>
      <c r="B123" s="484"/>
      <c r="C123" s="484"/>
      <c r="D123" s="484"/>
      <c r="E123" s="484"/>
      <c r="F123" s="484"/>
      <c r="G123" s="484"/>
      <c r="H123" s="484"/>
      <c r="I123" s="484"/>
      <c r="J123" s="484"/>
      <c r="K123" s="484"/>
      <c r="L123" s="484"/>
      <c r="M123" s="484"/>
      <c r="N123" s="484"/>
      <c r="O123" s="484"/>
      <c r="P123" s="484"/>
      <c r="Q123" s="484"/>
      <c r="R123" s="484"/>
      <c r="S123" s="484"/>
    </row>
    <row r="124" spans="1:19" ht="13.8" x14ac:dyDescent="0.3">
      <c r="A124" s="484"/>
      <c r="B124" s="484"/>
      <c r="C124" s="484"/>
      <c r="D124" s="484"/>
      <c r="E124" s="484"/>
      <c r="F124" s="484"/>
      <c r="G124" s="484"/>
      <c r="H124" s="484"/>
      <c r="I124" s="484"/>
      <c r="J124" s="484"/>
      <c r="K124" s="484"/>
      <c r="L124" s="484"/>
      <c r="M124" s="484"/>
      <c r="N124" s="484"/>
      <c r="O124" s="484"/>
      <c r="P124" s="484"/>
      <c r="Q124" s="484"/>
      <c r="R124" s="484"/>
      <c r="S124" s="484"/>
    </row>
    <row r="125" spans="1:19" ht="13.8" x14ac:dyDescent="0.3">
      <c r="A125" s="484"/>
      <c r="B125" s="484"/>
      <c r="C125" s="484"/>
      <c r="D125" s="484"/>
      <c r="E125" s="484"/>
      <c r="F125" s="484"/>
      <c r="G125" s="484"/>
      <c r="H125" s="484"/>
      <c r="I125" s="484"/>
      <c r="J125" s="484"/>
      <c r="K125" s="484"/>
      <c r="L125" s="484"/>
      <c r="M125" s="484"/>
      <c r="N125" s="484"/>
      <c r="O125" s="484"/>
      <c r="P125" s="484"/>
      <c r="Q125" s="484"/>
      <c r="R125" s="484"/>
      <c r="S125" s="484"/>
    </row>
    <row r="126" spans="1:19" ht="13.8" x14ac:dyDescent="0.3">
      <c r="A126" s="484"/>
      <c r="B126" s="484"/>
      <c r="C126" s="484"/>
      <c r="D126" s="484"/>
      <c r="E126" s="484"/>
      <c r="F126" s="484"/>
      <c r="G126" s="484"/>
      <c r="H126" s="484"/>
      <c r="I126" s="484"/>
      <c r="J126" s="484"/>
      <c r="K126" s="484"/>
      <c r="L126" s="484"/>
      <c r="M126" s="484"/>
      <c r="N126" s="484"/>
      <c r="O126" s="484"/>
      <c r="P126" s="484"/>
      <c r="Q126" s="484"/>
      <c r="R126" s="484"/>
      <c r="S126" s="484"/>
    </row>
    <row r="127" spans="1:19" ht="13.8" x14ac:dyDescent="0.3">
      <c r="A127" s="484"/>
      <c r="B127" s="484"/>
      <c r="C127" s="484"/>
      <c r="D127" s="484"/>
      <c r="E127" s="484"/>
      <c r="F127" s="484"/>
      <c r="G127" s="484"/>
      <c r="H127" s="484"/>
      <c r="I127" s="484"/>
      <c r="J127" s="484"/>
      <c r="K127" s="484"/>
      <c r="L127" s="484"/>
      <c r="M127" s="484"/>
      <c r="N127" s="484"/>
      <c r="O127" s="484"/>
      <c r="P127" s="484"/>
      <c r="Q127" s="484"/>
      <c r="R127" s="484"/>
      <c r="S127" s="484"/>
    </row>
    <row r="128" spans="1:19" ht="13.8" x14ac:dyDescent="0.3">
      <c r="A128" s="484"/>
      <c r="B128" s="484"/>
      <c r="C128" s="484"/>
      <c r="D128" s="484"/>
      <c r="E128" s="484"/>
      <c r="F128" s="484"/>
      <c r="G128" s="484"/>
      <c r="H128" s="484"/>
      <c r="I128" s="484"/>
      <c r="J128" s="484"/>
      <c r="K128" s="484"/>
      <c r="L128" s="484"/>
      <c r="M128" s="484"/>
      <c r="N128" s="484"/>
      <c r="O128" s="484"/>
      <c r="P128" s="484"/>
      <c r="Q128" s="484"/>
      <c r="R128" s="484"/>
      <c r="S128" s="484"/>
    </row>
    <row r="129" spans="1:19" ht="13.8" x14ac:dyDescent="0.3">
      <c r="A129" s="484"/>
      <c r="B129" s="484"/>
      <c r="C129" s="484"/>
      <c r="D129" s="484"/>
      <c r="E129" s="484"/>
      <c r="F129" s="484"/>
      <c r="G129" s="484"/>
      <c r="H129" s="484"/>
      <c r="I129" s="484"/>
      <c r="J129" s="484"/>
      <c r="K129" s="484"/>
      <c r="L129" s="484"/>
      <c r="M129" s="484"/>
      <c r="N129" s="484"/>
      <c r="O129" s="484"/>
      <c r="P129" s="484"/>
      <c r="Q129" s="484"/>
      <c r="R129" s="484"/>
      <c r="S129" s="484"/>
    </row>
    <row r="130" spans="1:19" ht="13.8" x14ac:dyDescent="0.3">
      <c r="A130" s="484"/>
      <c r="B130" s="484"/>
      <c r="C130" s="484"/>
      <c r="D130" s="484"/>
      <c r="E130" s="484"/>
      <c r="F130" s="484"/>
      <c r="G130" s="484"/>
      <c r="H130" s="484"/>
      <c r="I130" s="484"/>
      <c r="J130" s="484"/>
      <c r="K130" s="484"/>
      <c r="L130" s="484"/>
      <c r="M130" s="484"/>
      <c r="N130" s="484"/>
      <c r="O130" s="484"/>
      <c r="P130" s="484"/>
      <c r="Q130" s="484"/>
      <c r="R130" s="484"/>
      <c r="S130" s="484"/>
    </row>
    <row r="131" spans="1:19" ht="13.8" x14ac:dyDescent="0.3">
      <c r="A131" s="484"/>
      <c r="B131" s="484"/>
      <c r="C131" s="484"/>
      <c r="D131" s="484"/>
      <c r="E131" s="484"/>
      <c r="F131" s="484"/>
      <c r="G131" s="484"/>
      <c r="H131" s="484"/>
      <c r="I131" s="484"/>
      <c r="J131" s="484"/>
      <c r="K131" s="484"/>
      <c r="L131" s="484"/>
      <c r="M131" s="484"/>
      <c r="N131" s="484"/>
      <c r="O131" s="484"/>
      <c r="P131" s="484"/>
      <c r="Q131" s="484"/>
      <c r="R131" s="484"/>
      <c r="S131" s="484"/>
    </row>
    <row r="132" spans="1:19" ht="13.8" x14ac:dyDescent="0.3">
      <c r="A132" s="484"/>
      <c r="B132" s="484"/>
      <c r="C132" s="484"/>
      <c r="D132" s="484"/>
      <c r="E132" s="484"/>
      <c r="F132" s="484"/>
      <c r="G132" s="484"/>
      <c r="H132" s="484"/>
      <c r="I132" s="484"/>
      <c r="J132" s="484"/>
      <c r="K132" s="484"/>
      <c r="L132" s="484"/>
      <c r="M132" s="484"/>
      <c r="N132" s="484"/>
      <c r="O132" s="484"/>
      <c r="P132" s="484"/>
      <c r="Q132" s="484"/>
      <c r="R132" s="484"/>
      <c r="S132" s="484"/>
    </row>
    <row r="133" spans="1:19" ht="13.8" x14ac:dyDescent="0.3">
      <c r="A133" s="484"/>
      <c r="B133" s="484"/>
      <c r="C133" s="484"/>
      <c r="D133" s="484"/>
      <c r="E133" s="484"/>
      <c r="F133" s="484"/>
      <c r="G133" s="484"/>
      <c r="H133" s="484"/>
      <c r="I133" s="484"/>
      <c r="J133" s="484"/>
      <c r="K133" s="484"/>
      <c r="L133" s="484"/>
      <c r="M133" s="484"/>
      <c r="N133" s="484"/>
      <c r="O133" s="484"/>
      <c r="P133" s="484"/>
      <c r="Q133" s="484"/>
      <c r="R133" s="484"/>
      <c r="S133" s="484"/>
    </row>
    <row r="134" spans="1:19" ht="13.8" x14ac:dyDescent="0.3">
      <c r="A134" s="484"/>
      <c r="B134" s="484"/>
      <c r="C134" s="484"/>
      <c r="D134" s="484"/>
      <c r="E134" s="484"/>
      <c r="F134" s="484"/>
      <c r="G134" s="484"/>
      <c r="H134" s="484"/>
      <c r="I134" s="484"/>
      <c r="J134" s="484"/>
      <c r="K134" s="484"/>
      <c r="L134" s="484"/>
      <c r="M134" s="484"/>
      <c r="N134" s="484"/>
      <c r="O134" s="484"/>
      <c r="P134" s="484"/>
      <c r="Q134" s="484"/>
      <c r="R134" s="484"/>
      <c r="S134" s="484"/>
    </row>
    <row r="135" spans="1:19" ht="13.8" x14ac:dyDescent="0.3">
      <c r="A135" s="484"/>
      <c r="B135" s="484"/>
      <c r="C135" s="484"/>
      <c r="D135" s="484"/>
      <c r="E135" s="484"/>
      <c r="F135" s="484"/>
      <c r="G135" s="484"/>
      <c r="H135" s="484"/>
      <c r="I135" s="484"/>
      <c r="J135" s="484"/>
      <c r="K135" s="484"/>
      <c r="L135" s="484"/>
      <c r="M135" s="484"/>
      <c r="N135" s="484"/>
      <c r="O135" s="484"/>
      <c r="P135" s="484"/>
      <c r="Q135" s="484"/>
      <c r="R135" s="484"/>
      <c r="S135" s="484"/>
    </row>
    <row r="136" spans="1:19" ht="13.8" x14ac:dyDescent="0.3">
      <c r="A136" s="484"/>
      <c r="B136" s="484"/>
      <c r="C136" s="484"/>
      <c r="D136" s="484"/>
      <c r="E136" s="484"/>
      <c r="F136" s="484"/>
      <c r="G136" s="484"/>
      <c r="H136" s="484"/>
      <c r="I136" s="484"/>
      <c r="J136" s="484"/>
      <c r="K136" s="484"/>
      <c r="L136" s="484"/>
      <c r="M136" s="484"/>
      <c r="N136" s="484"/>
      <c r="O136" s="484"/>
      <c r="P136" s="484"/>
      <c r="Q136" s="484"/>
      <c r="R136" s="484"/>
      <c r="S136" s="484"/>
    </row>
    <row r="137" spans="1:19" ht="13.8" x14ac:dyDescent="0.3">
      <c r="A137" s="484"/>
      <c r="B137" s="484"/>
      <c r="C137" s="484"/>
      <c r="D137" s="484"/>
      <c r="E137" s="484"/>
      <c r="F137" s="484"/>
      <c r="G137" s="484"/>
      <c r="H137" s="484"/>
      <c r="I137" s="484"/>
      <c r="J137" s="484"/>
      <c r="K137" s="484"/>
      <c r="L137" s="484"/>
      <c r="M137" s="484"/>
      <c r="N137" s="484"/>
      <c r="O137" s="484"/>
      <c r="P137" s="484"/>
      <c r="Q137" s="484"/>
      <c r="R137" s="484"/>
      <c r="S137" s="484"/>
    </row>
    <row r="138" spans="1:19" ht="13.8" x14ac:dyDescent="0.3">
      <c r="A138" s="484"/>
      <c r="B138" s="484"/>
      <c r="C138" s="484"/>
      <c r="D138" s="484"/>
      <c r="E138" s="484"/>
      <c r="F138" s="484"/>
      <c r="G138" s="484"/>
      <c r="H138" s="484"/>
      <c r="I138" s="484"/>
      <c r="J138" s="484"/>
      <c r="K138" s="484"/>
      <c r="L138" s="484"/>
      <c r="M138" s="484"/>
      <c r="N138" s="484"/>
      <c r="O138" s="484"/>
      <c r="P138" s="484"/>
      <c r="Q138" s="484"/>
      <c r="R138" s="484"/>
      <c r="S138" s="484"/>
    </row>
    <row r="139" spans="1:19" ht="13.8" x14ac:dyDescent="0.3">
      <c r="A139" s="484"/>
      <c r="B139" s="484"/>
      <c r="C139" s="484"/>
      <c r="D139" s="484"/>
      <c r="E139" s="484"/>
      <c r="F139" s="484"/>
      <c r="G139" s="484"/>
      <c r="H139" s="484"/>
      <c r="I139" s="484"/>
      <c r="J139" s="484"/>
      <c r="K139" s="484"/>
      <c r="L139" s="484"/>
      <c r="M139" s="484"/>
      <c r="N139" s="484"/>
      <c r="O139" s="484"/>
      <c r="P139" s="484"/>
      <c r="Q139" s="484"/>
      <c r="R139" s="484"/>
      <c r="S139" s="484"/>
    </row>
    <row r="140" spans="1:19" ht="13.8" x14ac:dyDescent="0.3">
      <c r="A140" s="484"/>
      <c r="B140" s="484"/>
      <c r="C140" s="484"/>
      <c r="D140" s="484"/>
      <c r="E140" s="484"/>
      <c r="F140" s="484"/>
      <c r="G140" s="484"/>
      <c r="H140" s="484"/>
      <c r="I140" s="484"/>
      <c r="J140" s="484"/>
      <c r="K140" s="484"/>
      <c r="L140" s="484"/>
      <c r="M140" s="484"/>
      <c r="N140" s="484"/>
      <c r="O140" s="484"/>
      <c r="P140" s="484"/>
      <c r="Q140" s="484"/>
      <c r="R140" s="484"/>
      <c r="S140" s="484"/>
    </row>
    <row r="141" spans="1:19" ht="13.8" x14ac:dyDescent="0.3">
      <c r="A141" s="484"/>
      <c r="B141" s="484"/>
      <c r="C141" s="484"/>
      <c r="D141" s="484"/>
      <c r="E141" s="484"/>
      <c r="F141" s="484"/>
      <c r="G141" s="484"/>
      <c r="H141" s="484"/>
      <c r="I141" s="484"/>
      <c r="J141" s="484"/>
      <c r="K141" s="484"/>
      <c r="L141" s="484"/>
      <c r="M141" s="484"/>
      <c r="N141" s="484"/>
      <c r="O141" s="484"/>
      <c r="P141" s="484"/>
      <c r="Q141" s="484"/>
      <c r="R141" s="484"/>
      <c r="S141" s="484"/>
    </row>
    <row r="142" spans="1:19" ht="13.8" x14ac:dyDescent="0.3">
      <c r="A142" s="484"/>
      <c r="B142" s="484"/>
      <c r="C142" s="484"/>
      <c r="D142" s="484"/>
      <c r="E142" s="484"/>
      <c r="F142" s="484"/>
      <c r="G142" s="484"/>
      <c r="H142" s="484"/>
      <c r="I142" s="484"/>
      <c r="J142" s="484"/>
      <c r="K142" s="484"/>
      <c r="L142" s="484"/>
      <c r="M142" s="484"/>
      <c r="N142" s="484"/>
      <c r="O142" s="484"/>
      <c r="P142" s="484"/>
      <c r="Q142" s="484"/>
      <c r="R142" s="484"/>
      <c r="S142" s="484"/>
    </row>
    <row r="143" spans="1:19" ht="13.8" x14ac:dyDescent="0.3">
      <c r="A143" s="484"/>
      <c r="B143" s="484"/>
      <c r="C143" s="484"/>
      <c r="D143" s="484"/>
      <c r="E143" s="484"/>
      <c r="F143" s="484"/>
      <c r="G143" s="484"/>
      <c r="H143" s="484"/>
      <c r="I143" s="484"/>
      <c r="J143" s="484"/>
      <c r="K143" s="484"/>
      <c r="L143" s="484"/>
      <c r="M143" s="484"/>
      <c r="N143" s="484"/>
      <c r="O143" s="484"/>
      <c r="P143" s="484"/>
      <c r="Q143" s="484"/>
      <c r="R143" s="484"/>
      <c r="S143" s="484"/>
    </row>
    <row r="144" spans="1:19" ht="13.8" x14ac:dyDescent="0.3">
      <c r="A144" s="484"/>
      <c r="B144" s="484"/>
      <c r="C144" s="484"/>
      <c r="D144" s="484"/>
      <c r="E144" s="484"/>
      <c r="F144" s="484"/>
      <c r="G144" s="484"/>
      <c r="H144" s="484"/>
      <c r="I144" s="484"/>
      <c r="J144" s="484"/>
      <c r="K144" s="484"/>
      <c r="L144" s="484"/>
      <c r="M144" s="484"/>
      <c r="N144" s="484"/>
      <c r="O144" s="484"/>
      <c r="P144" s="484"/>
      <c r="Q144" s="484"/>
      <c r="R144" s="484"/>
      <c r="S144" s="484"/>
    </row>
    <row r="145" spans="1:19" ht="13.8" x14ac:dyDescent="0.3">
      <c r="A145" s="484"/>
      <c r="B145" s="484"/>
      <c r="C145" s="484"/>
      <c r="D145" s="484"/>
      <c r="E145" s="484"/>
      <c r="F145" s="484"/>
      <c r="G145" s="484"/>
      <c r="H145" s="484"/>
      <c r="I145" s="484"/>
      <c r="J145" s="484"/>
      <c r="K145" s="484"/>
      <c r="L145" s="484"/>
      <c r="M145" s="484"/>
      <c r="N145" s="484"/>
      <c r="O145" s="484"/>
      <c r="P145" s="484"/>
      <c r="Q145" s="484"/>
      <c r="R145" s="484"/>
      <c r="S145" s="484"/>
    </row>
    <row r="146" spans="1:19" ht="13.8" x14ac:dyDescent="0.3">
      <c r="A146" s="484"/>
      <c r="B146" s="484"/>
      <c r="C146" s="484"/>
      <c r="D146" s="484"/>
      <c r="E146" s="484"/>
      <c r="F146" s="484"/>
      <c r="G146" s="484"/>
      <c r="H146" s="484"/>
      <c r="I146" s="484"/>
      <c r="J146" s="484"/>
      <c r="K146" s="484"/>
      <c r="L146" s="484"/>
      <c r="M146" s="484"/>
      <c r="N146" s="484"/>
      <c r="O146" s="484"/>
      <c r="P146" s="484"/>
      <c r="Q146" s="484"/>
      <c r="R146" s="484"/>
      <c r="S146" s="484"/>
    </row>
    <row r="147" spans="1:19" ht="13.8" x14ac:dyDescent="0.3">
      <c r="A147" s="484"/>
      <c r="B147" s="484"/>
      <c r="C147" s="484"/>
      <c r="D147" s="484"/>
      <c r="E147" s="484"/>
      <c r="F147" s="484"/>
      <c r="G147" s="484"/>
      <c r="H147" s="484"/>
      <c r="I147" s="484"/>
      <c r="J147" s="484"/>
      <c r="K147" s="484"/>
      <c r="L147" s="484"/>
      <c r="M147" s="484"/>
      <c r="N147" s="484"/>
      <c r="O147" s="484"/>
      <c r="P147" s="484"/>
      <c r="Q147" s="484"/>
      <c r="R147" s="484"/>
      <c r="S147" s="484"/>
    </row>
    <row r="148" spans="1:19" ht="13.8" x14ac:dyDescent="0.3">
      <c r="A148" s="484"/>
      <c r="B148" s="484"/>
      <c r="C148" s="484"/>
      <c r="D148" s="484"/>
      <c r="E148" s="484"/>
      <c r="F148" s="484"/>
      <c r="G148" s="484"/>
      <c r="H148" s="484"/>
      <c r="I148" s="484"/>
      <c r="J148" s="484"/>
      <c r="K148" s="484"/>
      <c r="L148" s="484"/>
      <c r="M148" s="484"/>
      <c r="N148" s="484"/>
      <c r="O148" s="484"/>
      <c r="P148" s="484"/>
      <c r="Q148" s="484"/>
      <c r="R148" s="484"/>
      <c r="S148" s="484"/>
    </row>
    <row r="149" spans="1:19" ht="13.8" x14ac:dyDescent="0.3">
      <c r="A149" s="484"/>
      <c r="B149" s="484"/>
      <c r="C149" s="484"/>
      <c r="D149" s="484"/>
      <c r="E149" s="484"/>
      <c r="F149" s="484"/>
      <c r="G149" s="484"/>
      <c r="H149" s="484"/>
      <c r="I149" s="484"/>
      <c r="J149" s="484"/>
      <c r="K149" s="484"/>
      <c r="L149" s="484"/>
      <c r="M149" s="484"/>
      <c r="N149" s="484"/>
      <c r="O149" s="484"/>
      <c r="P149" s="484"/>
      <c r="Q149" s="484"/>
      <c r="R149" s="484"/>
      <c r="S149" s="484"/>
    </row>
    <row r="150" spans="1:19" ht="13.8" x14ac:dyDescent="0.3">
      <c r="A150" s="484"/>
      <c r="B150" s="484"/>
      <c r="C150" s="484"/>
      <c r="D150" s="484"/>
      <c r="E150" s="484"/>
      <c r="F150" s="484"/>
      <c r="G150" s="484"/>
      <c r="H150" s="484"/>
      <c r="I150" s="484"/>
      <c r="J150" s="484"/>
      <c r="K150" s="484"/>
      <c r="L150" s="484"/>
      <c r="M150" s="484"/>
      <c r="N150" s="484"/>
      <c r="O150" s="484"/>
      <c r="P150" s="484"/>
      <c r="Q150" s="484"/>
      <c r="R150" s="484"/>
      <c r="S150" s="484"/>
    </row>
    <row r="151" spans="1:19" ht="13.8" x14ac:dyDescent="0.3">
      <c r="A151" s="484"/>
      <c r="B151" s="484"/>
      <c r="C151" s="484"/>
      <c r="D151" s="484"/>
      <c r="E151" s="484"/>
      <c r="F151" s="484"/>
      <c r="G151" s="484"/>
      <c r="H151" s="484"/>
      <c r="I151" s="484"/>
      <c r="J151" s="484"/>
      <c r="K151" s="484"/>
      <c r="L151" s="484"/>
      <c r="M151" s="484"/>
      <c r="N151" s="484"/>
      <c r="O151" s="484"/>
      <c r="P151" s="484"/>
      <c r="Q151" s="484"/>
      <c r="R151" s="484"/>
      <c r="S151" s="484"/>
    </row>
    <row r="152" spans="1:19" ht="13.8" x14ac:dyDescent="0.3">
      <c r="A152" s="484"/>
      <c r="B152" s="484"/>
      <c r="C152" s="484"/>
      <c r="D152" s="484"/>
      <c r="E152" s="484"/>
      <c r="F152" s="484"/>
      <c r="G152" s="484"/>
      <c r="H152" s="484"/>
      <c r="I152" s="484"/>
      <c r="J152" s="484"/>
      <c r="K152" s="484"/>
      <c r="L152" s="484"/>
      <c r="M152" s="484"/>
      <c r="N152" s="484"/>
      <c r="O152" s="484"/>
      <c r="P152" s="484"/>
      <c r="Q152" s="484"/>
      <c r="R152" s="484"/>
      <c r="S152" s="484"/>
    </row>
    <row r="153" spans="1:19" ht="13.8" x14ac:dyDescent="0.3">
      <c r="A153" s="484"/>
      <c r="B153" s="484"/>
      <c r="C153" s="484"/>
      <c r="D153" s="484"/>
      <c r="E153" s="484"/>
      <c r="F153" s="484"/>
      <c r="G153" s="484"/>
      <c r="H153" s="484"/>
      <c r="I153" s="484"/>
      <c r="J153" s="484"/>
      <c r="K153" s="484"/>
      <c r="L153" s="484"/>
      <c r="M153" s="484"/>
      <c r="N153" s="484"/>
      <c r="O153" s="484"/>
      <c r="P153" s="484"/>
      <c r="Q153" s="484"/>
      <c r="R153" s="484"/>
      <c r="S153" s="484"/>
    </row>
    <row r="154" spans="1:19" ht="13.8" x14ac:dyDescent="0.3">
      <c r="A154" s="484"/>
      <c r="B154" s="484"/>
      <c r="C154" s="484"/>
      <c r="D154" s="484"/>
      <c r="E154" s="484"/>
      <c r="F154" s="484"/>
      <c r="G154" s="484"/>
      <c r="H154" s="484"/>
      <c r="I154" s="484"/>
      <c r="J154" s="484"/>
      <c r="K154" s="484"/>
      <c r="L154" s="484"/>
      <c r="M154" s="484"/>
      <c r="N154" s="484"/>
      <c r="O154" s="484"/>
      <c r="P154" s="484"/>
      <c r="Q154" s="484"/>
      <c r="R154" s="484"/>
      <c r="S154" s="484"/>
    </row>
    <row r="155" spans="1:19" ht="13.8" x14ac:dyDescent="0.3">
      <c r="A155" s="484"/>
      <c r="B155" s="484"/>
      <c r="C155" s="484"/>
      <c r="D155" s="484"/>
      <c r="E155" s="484"/>
      <c r="F155" s="484"/>
      <c r="G155" s="484"/>
      <c r="H155" s="484"/>
      <c r="I155" s="484"/>
      <c r="J155" s="484"/>
      <c r="K155" s="484"/>
      <c r="L155" s="484"/>
      <c r="M155" s="484"/>
      <c r="N155" s="484"/>
      <c r="O155" s="484"/>
      <c r="P155" s="484"/>
      <c r="Q155" s="484"/>
      <c r="R155" s="484"/>
      <c r="S155" s="484"/>
    </row>
    <row r="156" spans="1:19" ht="13.8" x14ac:dyDescent="0.3">
      <c r="A156" s="484"/>
      <c r="B156" s="484"/>
      <c r="C156" s="484"/>
      <c r="D156" s="484"/>
      <c r="E156" s="484"/>
      <c r="F156" s="484"/>
      <c r="G156" s="484"/>
      <c r="H156" s="484"/>
      <c r="I156" s="484"/>
      <c r="J156" s="484"/>
      <c r="K156" s="484"/>
      <c r="L156" s="484"/>
      <c r="M156" s="484"/>
      <c r="N156" s="484"/>
      <c r="O156" s="484"/>
      <c r="P156" s="484"/>
      <c r="Q156" s="484"/>
      <c r="R156" s="484"/>
      <c r="S156" s="484"/>
    </row>
    <row r="157" spans="1:19" ht="13.8" x14ac:dyDescent="0.3">
      <c r="A157" s="484"/>
      <c r="B157" s="484"/>
      <c r="C157" s="484"/>
      <c r="D157" s="484"/>
      <c r="E157" s="484"/>
      <c r="F157" s="484"/>
      <c r="G157" s="484"/>
      <c r="H157" s="484"/>
      <c r="I157" s="484"/>
      <c r="J157" s="484"/>
      <c r="K157" s="484"/>
      <c r="L157" s="484"/>
      <c r="M157" s="484"/>
      <c r="N157" s="484"/>
      <c r="O157" s="484"/>
      <c r="P157" s="484"/>
      <c r="Q157" s="484"/>
      <c r="R157" s="484"/>
      <c r="S157" s="484"/>
    </row>
    <row r="158" spans="1:19" ht="13.8" x14ac:dyDescent="0.3">
      <c r="A158" s="484"/>
      <c r="B158" s="484"/>
      <c r="C158" s="484"/>
      <c r="D158" s="484"/>
      <c r="E158" s="484"/>
      <c r="F158" s="484"/>
      <c r="G158" s="484"/>
      <c r="H158" s="484"/>
      <c r="I158" s="484"/>
      <c r="J158" s="484"/>
      <c r="K158" s="484"/>
      <c r="L158" s="484"/>
      <c r="M158" s="484"/>
      <c r="N158" s="484"/>
      <c r="O158" s="484"/>
      <c r="P158" s="484"/>
      <c r="Q158" s="484"/>
      <c r="R158" s="484"/>
      <c r="S158" s="484"/>
    </row>
    <row r="159" spans="1:19" ht="13.8" x14ac:dyDescent="0.3">
      <c r="A159" s="484"/>
      <c r="B159" s="484"/>
      <c r="C159" s="484"/>
      <c r="D159" s="484"/>
      <c r="E159" s="484"/>
      <c r="F159" s="484"/>
      <c r="G159" s="484"/>
      <c r="H159" s="484"/>
      <c r="I159" s="484"/>
      <c r="J159" s="484"/>
      <c r="K159" s="484"/>
      <c r="L159" s="484"/>
      <c r="M159" s="484"/>
      <c r="N159" s="484"/>
      <c r="O159" s="484"/>
      <c r="P159" s="484"/>
      <c r="Q159" s="484"/>
      <c r="R159" s="484"/>
      <c r="S159" s="484"/>
    </row>
    <row r="160" spans="1:19" ht="13.8" x14ac:dyDescent="0.3">
      <c r="A160" s="484"/>
      <c r="B160" s="484"/>
      <c r="C160" s="484"/>
      <c r="D160" s="484"/>
      <c r="E160" s="484"/>
      <c r="F160" s="484"/>
      <c r="G160" s="484"/>
      <c r="H160" s="484"/>
      <c r="I160" s="484"/>
      <c r="J160" s="484"/>
      <c r="K160" s="484"/>
      <c r="L160" s="484"/>
      <c r="M160" s="484"/>
      <c r="N160" s="484"/>
      <c r="O160" s="484"/>
      <c r="P160" s="484"/>
      <c r="Q160" s="484"/>
      <c r="R160" s="484"/>
      <c r="S160" s="484"/>
    </row>
    <row r="161" spans="1:19" ht="13.8" x14ac:dyDescent="0.3">
      <c r="A161" s="484"/>
      <c r="B161" s="484"/>
      <c r="C161" s="484"/>
      <c r="D161" s="484"/>
      <c r="E161" s="484"/>
      <c r="F161" s="484"/>
      <c r="G161" s="484"/>
      <c r="H161" s="484"/>
      <c r="I161" s="484"/>
      <c r="J161" s="484"/>
      <c r="K161" s="484"/>
      <c r="L161" s="484"/>
      <c r="M161" s="484"/>
      <c r="N161" s="484"/>
      <c r="O161" s="484"/>
      <c r="P161" s="484"/>
      <c r="Q161" s="484"/>
      <c r="R161" s="484"/>
      <c r="S161" s="484"/>
    </row>
    <row r="162" spans="1:19" ht="13.8" x14ac:dyDescent="0.3">
      <c r="A162" s="484"/>
      <c r="B162" s="484"/>
      <c r="C162" s="484"/>
      <c r="D162" s="484"/>
      <c r="E162" s="484"/>
      <c r="F162" s="484"/>
      <c r="G162" s="484"/>
      <c r="H162" s="484"/>
      <c r="I162" s="484"/>
      <c r="J162" s="484"/>
      <c r="K162" s="484"/>
      <c r="L162" s="484"/>
      <c r="M162" s="484"/>
      <c r="N162" s="484"/>
      <c r="O162" s="484"/>
      <c r="P162" s="484"/>
      <c r="Q162" s="484"/>
      <c r="R162" s="484"/>
      <c r="S162" s="484"/>
    </row>
    <row r="163" spans="1:19" ht="13.8" x14ac:dyDescent="0.3">
      <c r="A163" s="484"/>
      <c r="B163" s="484"/>
      <c r="C163" s="484"/>
      <c r="D163" s="484"/>
      <c r="E163" s="484"/>
      <c r="F163" s="484"/>
      <c r="G163" s="484"/>
      <c r="H163" s="484"/>
      <c r="I163" s="484"/>
      <c r="J163" s="484"/>
      <c r="K163" s="484"/>
      <c r="L163" s="484"/>
      <c r="M163" s="484"/>
      <c r="N163" s="484"/>
      <c r="O163" s="484"/>
      <c r="P163" s="484"/>
      <c r="Q163" s="484"/>
      <c r="R163" s="484"/>
      <c r="S163" s="484"/>
    </row>
    <row r="164" spans="1:19" ht="13.8" x14ac:dyDescent="0.3">
      <c r="A164" s="484"/>
      <c r="B164" s="484"/>
      <c r="C164" s="484"/>
      <c r="D164" s="484"/>
      <c r="E164" s="484"/>
      <c r="F164" s="484"/>
      <c r="G164" s="484"/>
      <c r="H164" s="484"/>
      <c r="I164" s="484"/>
      <c r="J164" s="484"/>
      <c r="K164" s="484"/>
      <c r="L164" s="484"/>
      <c r="M164" s="484"/>
      <c r="N164" s="484"/>
      <c r="O164" s="484"/>
      <c r="P164" s="484"/>
      <c r="Q164" s="484"/>
      <c r="R164" s="484"/>
      <c r="S164" s="484"/>
    </row>
    <row r="165" spans="1:19" ht="13.8" x14ac:dyDescent="0.3">
      <c r="A165" s="484"/>
      <c r="B165" s="484"/>
      <c r="C165" s="484"/>
      <c r="D165" s="484"/>
      <c r="E165" s="484"/>
      <c r="F165" s="484"/>
      <c r="G165" s="484"/>
      <c r="H165" s="484"/>
      <c r="I165" s="484"/>
      <c r="J165" s="484"/>
      <c r="K165" s="484"/>
      <c r="L165" s="484"/>
      <c r="M165" s="484"/>
      <c r="N165" s="484"/>
      <c r="O165" s="484"/>
      <c r="P165" s="484"/>
      <c r="Q165" s="484"/>
      <c r="R165" s="484"/>
      <c r="S165" s="484"/>
    </row>
    <row r="166" spans="1:19" ht="13.8" x14ac:dyDescent="0.3">
      <c r="A166" s="484"/>
      <c r="B166" s="484"/>
      <c r="C166" s="484"/>
      <c r="D166" s="484"/>
      <c r="E166" s="484"/>
      <c r="F166" s="484"/>
      <c r="G166" s="484"/>
      <c r="H166" s="484"/>
      <c r="I166" s="484"/>
      <c r="J166" s="484"/>
      <c r="K166" s="484"/>
      <c r="L166" s="484"/>
      <c r="M166" s="484"/>
      <c r="N166" s="484"/>
      <c r="O166" s="484"/>
      <c r="P166" s="484"/>
      <c r="Q166" s="484"/>
      <c r="R166" s="484"/>
      <c r="S166" s="484"/>
    </row>
    <row r="167" spans="1:19" ht="13.8" x14ac:dyDescent="0.3">
      <c r="A167" s="484"/>
      <c r="B167" s="484"/>
      <c r="C167" s="484"/>
      <c r="D167" s="484"/>
      <c r="E167" s="484"/>
      <c r="F167" s="484"/>
      <c r="G167" s="484"/>
      <c r="H167" s="484"/>
      <c r="I167" s="484"/>
      <c r="J167" s="484"/>
      <c r="K167" s="484"/>
      <c r="L167" s="484"/>
      <c r="M167" s="484"/>
      <c r="N167" s="484"/>
      <c r="O167" s="484"/>
      <c r="P167" s="484"/>
      <c r="Q167" s="484"/>
      <c r="R167" s="484"/>
      <c r="S167" s="484"/>
    </row>
    <row r="168" spans="1:19" ht="13.8" x14ac:dyDescent="0.3">
      <c r="A168" s="484"/>
      <c r="B168" s="484"/>
      <c r="C168" s="484"/>
      <c r="D168" s="484"/>
      <c r="E168" s="484"/>
      <c r="F168" s="484"/>
      <c r="G168" s="484"/>
      <c r="H168" s="484"/>
      <c r="I168" s="484"/>
      <c r="J168" s="484"/>
      <c r="K168" s="484"/>
      <c r="L168" s="484"/>
      <c r="M168" s="484"/>
      <c r="N168" s="484"/>
      <c r="O168" s="484"/>
      <c r="P168" s="484"/>
      <c r="Q168" s="484"/>
      <c r="R168" s="484"/>
      <c r="S168" s="484"/>
    </row>
    <row r="169" spans="1:19" ht="13.8" x14ac:dyDescent="0.3">
      <c r="A169" s="484"/>
      <c r="B169" s="484"/>
      <c r="C169" s="484"/>
      <c r="D169" s="484"/>
      <c r="E169" s="484"/>
      <c r="F169" s="484"/>
      <c r="G169" s="484"/>
      <c r="H169" s="484"/>
      <c r="I169" s="484"/>
      <c r="J169" s="484"/>
      <c r="K169" s="484"/>
      <c r="L169" s="484"/>
      <c r="M169" s="484"/>
      <c r="N169" s="484"/>
      <c r="O169" s="484"/>
      <c r="P169" s="484"/>
      <c r="Q169" s="484"/>
      <c r="R169" s="484"/>
      <c r="S169" s="484"/>
    </row>
    <row r="170" spans="1:19" ht="13.8" x14ac:dyDescent="0.3">
      <c r="A170" s="484"/>
      <c r="B170" s="484"/>
      <c r="C170" s="484"/>
      <c r="D170" s="484"/>
      <c r="E170" s="484"/>
      <c r="F170" s="484"/>
      <c r="G170" s="484"/>
      <c r="H170" s="484"/>
      <c r="I170" s="484"/>
      <c r="J170" s="484"/>
      <c r="K170" s="484"/>
      <c r="L170" s="484"/>
      <c r="M170" s="484"/>
      <c r="N170" s="484"/>
      <c r="O170" s="484"/>
      <c r="P170" s="484"/>
      <c r="Q170" s="484"/>
      <c r="R170" s="484"/>
      <c r="S170" s="484"/>
    </row>
    <row r="171" spans="1:19" ht="13.8" x14ac:dyDescent="0.3">
      <c r="A171" s="484"/>
      <c r="B171" s="484"/>
      <c r="C171" s="484"/>
      <c r="D171" s="484"/>
      <c r="E171" s="484"/>
      <c r="F171" s="484"/>
      <c r="G171" s="484"/>
      <c r="H171" s="484"/>
      <c r="I171" s="484"/>
      <c r="J171" s="484"/>
      <c r="K171" s="484"/>
      <c r="L171" s="484"/>
      <c r="M171" s="484"/>
      <c r="N171" s="484"/>
      <c r="O171" s="484"/>
      <c r="P171" s="484"/>
      <c r="Q171" s="484"/>
      <c r="R171" s="484"/>
      <c r="S171" s="484"/>
    </row>
    <row r="172" spans="1:19" ht="13.8" x14ac:dyDescent="0.3">
      <c r="A172" s="484"/>
      <c r="B172" s="484"/>
      <c r="C172" s="484"/>
      <c r="D172" s="484"/>
      <c r="E172" s="484"/>
      <c r="F172" s="484"/>
      <c r="G172" s="484"/>
      <c r="H172" s="484"/>
      <c r="I172" s="484"/>
      <c r="J172" s="484"/>
      <c r="K172" s="484"/>
      <c r="L172" s="484"/>
      <c r="M172" s="484"/>
      <c r="N172" s="484"/>
      <c r="O172" s="484"/>
      <c r="P172" s="484"/>
      <c r="Q172" s="484"/>
      <c r="R172" s="484"/>
      <c r="S172" s="484"/>
    </row>
    <row r="173" spans="1:19" ht="13.8" x14ac:dyDescent="0.3">
      <c r="A173" s="484"/>
      <c r="B173" s="484"/>
      <c r="C173" s="484"/>
      <c r="D173" s="484"/>
      <c r="E173" s="484"/>
      <c r="F173" s="484"/>
      <c r="G173" s="484"/>
      <c r="H173" s="484"/>
      <c r="I173" s="484"/>
      <c r="J173" s="484"/>
      <c r="K173" s="484"/>
      <c r="L173" s="484"/>
      <c r="M173" s="484"/>
      <c r="N173" s="484"/>
      <c r="O173" s="484"/>
      <c r="P173" s="484"/>
      <c r="Q173" s="484"/>
      <c r="R173" s="484"/>
      <c r="S173" s="484"/>
    </row>
    <row r="174" spans="1:19" ht="13.8" x14ac:dyDescent="0.3">
      <c r="A174" s="484"/>
      <c r="B174" s="484"/>
      <c r="C174" s="484"/>
      <c r="D174" s="484"/>
      <c r="E174" s="484"/>
      <c r="F174" s="484"/>
      <c r="G174" s="484"/>
      <c r="H174" s="484"/>
      <c r="I174" s="484"/>
      <c r="J174" s="484"/>
      <c r="K174" s="484"/>
      <c r="L174" s="484"/>
      <c r="M174" s="484"/>
      <c r="N174" s="484"/>
      <c r="O174" s="484"/>
      <c r="P174" s="484"/>
      <c r="Q174" s="484"/>
      <c r="R174" s="484"/>
      <c r="S174" s="484"/>
    </row>
    <row r="175" spans="1:19" ht="13.8" x14ac:dyDescent="0.3">
      <c r="A175" s="484"/>
      <c r="B175" s="484"/>
      <c r="C175" s="484"/>
      <c r="D175" s="484"/>
      <c r="E175" s="484"/>
      <c r="F175" s="484"/>
      <c r="G175" s="484"/>
      <c r="H175" s="484"/>
      <c r="I175" s="484"/>
      <c r="J175" s="484"/>
      <c r="K175" s="484"/>
      <c r="L175" s="484"/>
      <c r="M175" s="484"/>
      <c r="N175" s="484"/>
      <c r="O175" s="484"/>
      <c r="P175" s="484"/>
      <c r="Q175" s="484"/>
      <c r="R175" s="484"/>
      <c r="S175" s="484"/>
    </row>
    <row r="176" spans="1:19" ht="13.8" x14ac:dyDescent="0.3">
      <c r="A176" s="484"/>
      <c r="B176" s="484"/>
      <c r="C176" s="484"/>
      <c r="D176" s="484"/>
      <c r="E176" s="484"/>
      <c r="F176" s="484"/>
      <c r="G176" s="484"/>
      <c r="H176" s="484"/>
      <c r="I176" s="484"/>
      <c r="J176" s="484"/>
      <c r="K176" s="484"/>
      <c r="L176" s="484"/>
      <c r="M176" s="484"/>
      <c r="N176" s="484"/>
      <c r="O176" s="484"/>
      <c r="P176" s="484"/>
      <c r="Q176" s="484"/>
      <c r="R176" s="484"/>
      <c r="S176" s="484"/>
    </row>
    <row r="177" spans="1:19" ht="13.8" x14ac:dyDescent="0.3">
      <c r="A177" s="484"/>
      <c r="B177" s="484"/>
      <c r="C177" s="484"/>
      <c r="D177" s="484"/>
      <c r="E177" s="484"/>
      <c r="F177" s="484"/>
      <c r="G177" s="484"/>
      <c r="H177" s="484"/>
      <c r="I177" s="484"/>
      <c r="J177" s="484"/>
      <c r="K177" s="484"/>
      <c r="L177" s="484"/>
      <c r="M177" s="484"/>
      <c r="N177" s="484"/>
      <c r="O177" s="484"/>
      <c r="P177" s="484"/>
      <c r="Q177" s="484"/>
      <c r="R177" s="484"/>
      <c r="S177" s="484"/>
    </row>
    <row r="178" spans="1:19" ht="13.8" x14ac:dyDescent="0.3">
      <c r="A178" s="484"/>
      <c r="B178" s="484"/>
      <c r="C178" s="484"/>
      <c r="D178" s="484"/>
      <c r="E178" s="484"/>
      <c r="F178" s="484"/>
      <c r="G178" s="484"/>
      <c r="H178" s="484"/>
      <c r="I178" s="484"/>
      <c r="J178" s="484"/>
      <c r="K178" s="484"/>
      <c r="L178" s="484"/>
      <c r="M178" s="484"/>
      <c r="N178" s="484"/>
      <c r="O178" s="484"/>
      <c r="P178" s="484"/>
      <c r="Q178" s="484"/>
      <c r="R178" s="484"/>
      <c r="S178" s="484"/>
    </row>
    <row r="179" spans="1:19" ht="13.8" x14ac:dyDescent="0.3">
      <c r="A179" s="484"/>
      <c r="B179" s="484"/>
      <c r="C179" s="484"/>
      <c r="D179" s="484"/>
      <c r="E179" s="484"/>
      <c r="F179" s="484"/>
      <c r="G179" s="484"/>
      <c r="H179" s="484"/>
      <c r="I179" s="484"/>
      <c r="J179" s="484"/>
      <c r="K179" s="484"/>
      <c r="L179" s="484"/>
      <c r="M179" s="484"/>
      <c r="N179" s="484"/>
      <c r="O179" s="484"/>
      <c r="P179" s="484"/>
      <c r="Q179" s="484"/>
      <c r="R179" s="484"/>
      <c r="S179" s="484"/>
    </row>
    <row r="180" spans="1:19" ht="13.8" x14ac:dyDescent="0.3">
      <c r="A180" s="484"/>
      <c r="B180" s="484"/>
      <c r="C180" s="484"/>
      <c r="D180" s="484"/>
      <c r="E180" s="484"/>
      <c r="F180" s="484"/>
      <c r="G180" s="484"/>
      <c r="H180" s="484"/>
      <c r="I180" s="484"/>
      <c r="J180" s="484"/>
      <c r="K180" s="484"/>
      <c r="L180" s="484"/>
      <c r="M180" s="484"/>
      <c r="N180" s="484"/>
      <c r="O180" s="484"/>
      <c r="P180" s="484"/>
      <c r="Q180" s="484"/>
      <c r="R180" s="484"/>
      <c r="S180" s="484"/>
    </row>
    <row r="181" spans="1:19" ht="13.8" x14ac:dyDescent="0.3">
      <c r="A181" s="484"/>
      <c r="B181" s="484"/>
      <c r="C181" s="484"/>
      <c r="D181" s="484"/>
      <c r="E181" s="484"/>
      <c r="F181" s="484"/>
      <c r="G181" s="484"/>
      <c r="H181" s="484"/>
      <c r="I181" s="484"/>
      <c r="J181" s="484"/>
      <c r="K181" s="484"/>
      <c r="L181" s="484"/>
      <c r="M181" s="484"/>
      <c r="N181" s="484"/>
      <c r="O181" s="484"/>
      <c r="P181" s="484"/>
      <c r="Q181" s="484"/>
      <c r="R181" s="484"/>
      <c r="S181" s="484"/>
    </row>
    <row r="182" spans="1:19" ht="13.8" x14ac:dyDescent="0.3">
      <c r="A182" s="484"/>
      <c r="B182" s="484"/>
      <c r="C182" s="484"/>
      <c r="D182" s="484"/>
      <c r="E182" s="484"/>
      <c r="F182" s="484"/>
      <c r="G182" s="484"/>
      <c r="H182" s="484"/>
      <c r="I182" s="484"/>
      <c r="J182" s="484"/>
      <c r="K182" s="484"/>
      <c r="L182" s="484"/>
      <c r="M182" s="484"/>
      <c r="N182" s="484"/>
      <c r="O182" s="484"/>
      <c r="P182" s="484"/>
      <c r="Q182" s="484"/>
      <c r="R182" s="484"/>
      <c r="S182" s="484"/>
    </row>
    <row r="183" spans="1:19" ht="13.8" x14ac:dyDescent="0.3">
      <c r="A183" s="484"/>
      <c r="B183" s="484"/>
      <c r="C183" s="484"/>
      <c r="D183" s="484"/>
      <c r="E183" s="484"/>
      <c r="F183" s="484"/>
      <c r="G183" s="484"/>
      <c r="H183" s="484"/>
      <c r="I183" s="484"/>
      <c r="J183" s="484"/>
      <c r="K183" s="484"/>
      <c r="L183" s="484"/>
      <c r="M183" s="484"/>
      <c r="N183" s="484"/>
      <c r="O183" s="484"/>
      <c r="P183" s="484"/>
      <c r="Q183" s="484"/>
      <c r="R183" s="484"/>
      <c r="S183" s="484"/>
    </row>
    <row r="184" spans="1:19" ht="13.8" x14ac:dyDescent="0.3">
      <c r="A184" s="484"/>
      <c r="B184" s="484"/>
      <c r="C184" s="484"/>
      <c r="D184" s="484"/>
      <c r="E184" s="484"/>
      <c r="F184" s="484"/>
      <c r="G184" s="484"/>
      <c r="H184" s="484"/>
      <c r="I184" s="484"/>
      <c r="J184" s="484"/>
      <c r="K184" s="484"/>
      <c r="L184" s="484"/>
      <c r="M184" s="484"/>
      <c r="N184" s="484"/>
      <c r="O184" s="484"/>
      <c r="P184" s="484"/>
      <c r="Q184" s="484"/>
      <c r="R184" s="484"/>
      <c r="S184" s="484"/>
    </row>
    <row r="185" spans="1:19" ht="13.8" x14ac:dyDescent="0.3">
      <c r="A185" s="484"/>
      <c r="B185" s="484"/>
      <c r="C185" s="484"/>
      <c r="D185" s="484"/>
      <c r="E185" s="484"/>
      <c r="F185" s="484"/>
      <c r="G185" s="484"/>
      <c r="H185" s="484"/>
      <c r="I185" s="484"/>
      <c r="J185" s="484"/>
      <c r="K185" s="484"/>
      <c r="L185" s="484"/>
      <c r="M185" s="484"/>
      <c r="N185" s="484"/>
      <c r="O185" s="484"/>
      <c r="P185" s="484"/>
      <c r="Q185" s="484"/>
      <c r="R185" s="484"/>
      <c r="S185" s="484"/>
    </row>
    <row r="186" spans="1:19" ht="13.8" x14ac:dyDescent="0.3">
      <c r="A186" s="484"/>
      <c r="B186" s="484"/>
      <c r="C186" s="484"/>
      <c r="D186" s="484"/>
      <c r="E186" s="484"/>
      <c r="F186" s="484"/>
      <c r="G186" s="484"/>
      <c r="H186" s="484"/>
      <c r="I186" s="484"/>
      <c r="J186" s="484"/>
      <c r="K186" s="484"/>
      <c r="L186" s="484"/>
      <c r="M186" s="484"/>
      <c r="N186" s="484"/>
      <c r="O186" s="484"/>
      <c r="P186" s="484"/>
      <c r="Q186" s="484"/>
      <c r="R186" s="484"/>
      <c r="S186" s="484"/>
    </row>
    <row r="187" spans="1:19" ht="13.8" x14ac:dyDescent="0.3">
      <c r="A187" s="484"/>
      <c r="B187" s="484"/>
      <c r="C187" s="484"/>
      <c r="D187" s="484"/>
      <c r="E187" s="484"/>
      <c r="F187" s="484"/>
      <c r="G187" s="484"/>
      <c r="H187" s="484"/>
      <c r="I187" s="484"/>
      <c r="J187" s="484"/>
      <c r="K187" s="484"/>
      <c r="L187" s="484"/>
      <c r="M187" s="484"/>
      <c r="N187" s="484"/>
      <c r="O187" s="484"/>
      <c r="P187" s="484"/>
      <c r="Q187" s="484"/>
      <c r="R187" s="484"/>
      <c r="S187" s="484"/>
    </row>
    <row r="188" spans="1:19" ht="13.8" x14ac:dyDescent="0.3">
      <c r="A188" s="484"/>
      <c r="B188" s="484"/>
      <c r="C188" s="484"/>
      <c r="D188" s="484"/>
      <c r="E188" s="484"/>
      <c r="F188" s="484"/>
      <c r="G188" s="484"/>
      <c r="H188" s="484"/>
      <c r="I188" s="484"/>
      <c r="J188" s="484"/>
      <c r="K188" s="484"/>
      <c r="L188" s="484"/>
      <c r="M188" s="484"/>
      <c r="N188" s="484"/>
      <c r="O188" s="484"/>
      <c r="P188" s="484"/>
      <c r="Q188" s="484"/>
      <c r="R188" s="484"/>
      <c r="S188" s="484"/>
    </row>
    <row r="189" spans="1:19" ht="13.8" x14ac:dyDescent="0.3">
      <c r="A189" s="484"/>
      <c r="B189" s="484"/>
      <c r="C189" s="484"/>
      <c r="D189" s="484"/>
      <c r="E189" s="484"/>
      <c r="F189" s="484"/>
      <c r="G189" s="484"/>
      <c r="H189" s="484"/>
      <c r="I189" s="484"/>
      <c r="J189" s="484"/>
      <c r="K189" s="484"/>
      <c r="L189" s="484"/>
      <c r="M189" s="484"/>
      <c r="N189" s="484"/>
      <c r="O189" s="484"/>
      <c r="P189" s="484"/>
      <c r="Q189" s="484"/>
      <c r="R189" s="484"/>
      <c r="S189" s="484"/>
    </row>
    <row r="190" spans="1:19" ht="13.8" x14ac:dyDescent="0.3">
      <c r="A190" s="484"/>
      <c r="B190" s="484"/>
      <c r="C190" s="484"/>
      <c r="D190" s="484"/>
      <c r="E190" s="484"/>
      <c r="F190" s="484"/>
      <c r="G190" s="484"/>
      <c r="H190" s="484"/>
      <c r="I190" s="484"/>
      <c r="J190" s="484"/>
      <c r="K190" s="484"/>
      <c r="L190" s="484"/>
      <c r="M190" s="484"/>
      <c r="N190" s="484"/>
      <c r="O190" s="484"/>
      <c r="P190" s="484"/>
      <c r="Q190" s="484"/>
      <c r="R190" s="484"/>
      <c r="S190" s="484"/>
    </row>
    <row r="191" spans="1:19" ht="13.8" x14ac:dyDescent="0.3">
      <c r="A191" s="484"/>
      <c r="B191" s="484"/>
      <c r="C191" s="484"/>
      <c r="D191" s="484"/>
      <c r="E191" s="484"/>
      <c r="F191" s="484"/>
      <c r="G191" s="484"/>
      <c r="H191" s="484"/>
      <c r="I191" s="484"/>
      <c r="J191" s="484"/>
      <c r="K191" s="484"/>
      <c r="L191" s="484"/>
      <c r="M191" s="484"/>
      <c r="N191" s="484"/>
      <c r="O191" s="484"/>
      <c r="P191" s="484"/>
      <c r="Q191" s="484"/>
      <c r="R191" s="484"/>
      <c r="S191" s="484"/>
    </row>
    <row r="192" spans="1:19" ht="13.8" x14ac:dyDescent="0.3">
      <c r="A192" s="484"/>
      <c r="B192" s="484"/>
      <c r="C192" s="484"/>
      <c r="D192" s="484"/>
      <c r="E192" s="484"/>
      <c r="F192" s="484"/>
      <c r="G192" s="484"/>
      <c r="H192" s="484"/>
      <c r="I192" s="484"/>
      <c r="J192" s="484"/>
      <c r="K192" s="484"/>
      <c r="L192" s="484"/>
      <c r="M192" s="484"/>
      <c r="N192" s="484"/>
      <c r="O192" s="484"/>
      <c r="P192" s="484"/>
      <c r="Q192" s="484"/>
      <c r="R192" s="484"/>
      <c r="S192" s="484"/>
    </row>
    <row r="193" spans="1:19" ht="13.8" x14ac:dyDescent="0.3">
      <c r="A193" s="484"/>
      <c r="B193" s="484"/>
      <c r="C193" s="484"/>
      <c r="D193" s="484"/>
      <c r="E193" s="484"/>
      <c r="F193" s="484"/>
      <c r="G193" s="484"/>
      <c r="H193" s="484"/>
      <c r="I193" s="484"/>
      <c r="J193" s="484"/>
      <c r="K193" s="484"/>
      <c r="L193" s="484"/>
      <c r="M193" s="484"/>
      <c r="N193" s="484"/>
      <c r="O193" s="484"/>
      <c r="P193" s="484"/>
      <c r="Q193" s="484"/>
      <c r="R193" s="484"/>
      <c r="S193" s="484"/>
    </row>
    <row r="194" spans="1:19" ht="13.8" x14ac:dyDescent="0.3">
      <c r="A194" s="484"/>
      <c r="B194" s="484"/>
      <c r="C194" s="484"/>
      <c r="D194" s="484"/>
      <c r="E194" s="484"/>
      <c r="F194" s="484"/>
      <c r="G194" s="484"/>
      <c r="H194" s="484"/>
      <c r="I194" s="484"/>
      <c r="J194" s="484"/>
      <c r="K194" s="484"/>
      <c r="L194" s="484"/>
      <c r="M194" s="484"/>
      <c r="N194" s="484"/>
      <c r="O194" s="484"/>
      <c r="P194" s="484"/>
      <c r="Q194" s="484"/>
      <c r="R194" s="484"/>
      <c r="S194" s="484"/>
    </row>
    <row r="195" spans="1:19" ht="13.8" x14ac:dyDescent="0.3">
      <c r="A195" s="484"/>
      <c r="B195" s="484"/>
      <c r="C195" s="484"/>
      <c r="D195" s="484"/>
      <c r="E195" s="484"/>
      <c r="F195" s="484"/>
      <c r="G195" s="484"/>
      <c r="H195" s="484"/>
      <c r="I195" s="484"/>
      <c r="J195" s="484"/>
      <c r="K195" s="484"/>
      <c r="L195" s="484"/>
      <c r="M195" s="484"/>
      <c r="N195" s="484"/>
      <c r="O195" s="484"/>
      <c r="P195" s="484"/>
      <c r="Q195" s="484"/>
      <c r="R195" s="484"/>
      <c r="S195" s="484"/>
    </row>
    <row r="196" spans="1:19" ht="13.8" x14ac:dyDescent="0.3">
      <c r="A196" s="484"/>
      <c r="B196" s="484"/>
      <c r="C196" s="484"/>
      <c r="D196" s="484"/>
      <c r="E196" s="484"/>
      <c r="F196" s="484"/>
      <c r="G196" s="484"/>
      <c r="H196" s="484"/>
      <c r="I196" s="484"/>
      <c r="J196" s="484"/>
      <c r="K196" s="484"/>
      <c r="L196" s="484"/>
      <c r="M196" s="484"/>
      <c r="N196" s="484"/>
      <c r="O196" s="484"/>
      <c r="P196" s="484"/>
      <c r="Q196" s="484"/>
      <c r="R196" s="484"/>
      <c r="S196" s="484"/>
    </row>
    <row r="197" spans="1:19" ht="13.8" x14ac:dyDescent="0.3">
      <c r="A197" s="484"/>
      <c r="B197" s="484"/>
      <c r="C197" s="484"/>
      <c r="D197" s="484"/>
      <c r="E197" s="484"/>
      <c r="F197" s="484"/>
      <c r="G197" s="484"/>
      <c r="H197" s="484"/>
      <c r="I197" s="484"/>
      <c r="J197" s="484"/>
      <c r="K197" s="484"/>
      <c r="L197" s="484"/>
      <c r="M197" s="484"/>
      <c r="N197" s="484"/>
      <c r="O197" s="484"/>
      <c r="P197" s="484"/>
      <c r="Q197" s="484"/>
      <c r="R197" s="484"/>
      <c r="S197" s="484"/>
    </row>
    <row r="198" spans="1:19" ht="13.8" x14ac:dyDescent="0.3">
      <c r="A198" s="484"/>
      <c r="B198" s="484"/>
      <c r="C198" s="484"/>
      <c r="D198" s="484"/>
      <c r="E198" s="484"/>
      <c r="F198" s="484"/>
      <c r="G198" s="484"/>
      <c r="H198" s="484"/>
      <c r="I198" s="484"/>
      <c r="J198" s="484"/>
      <c r="K198" s="484"/>
      <c r="L198" s="484"/>
      <c r="M198" s="484"/>
      <c r="N198" s="484"/>
      <c r="O198" s="484"/>
      <c r="P198" s="484"/>
      <c r="Q198" s="484"/>
      <c r="R198" s="484"/>
      <c r="S198" s="484"/>
    </row>
    <row r="199" spans="1:19" ht="13.8" x14ac:dyDescent="0.3">
      <c r="A199" s="484"/>
      <c r="B199" s="484"/>
      <c r="C199" s="484"/>
      <c r="D199" s="484"/>
      <c r="E199" s="484"/>
      <c r="F199" s="484"/>
      <c r="G199" s="484"/>
      <c r="H199" s="484"/>
      <c r="I199" s="484"/>
      <c r="J199" s="484"/>
      <c r="K199" s="484"/>
      <c r="L199" s="484"/>
      <c r="M199" s="484"/>
      <c r="N199" s="484"/>
      <c r="O199" s="484"/>
      <c r="P199" s="484"/>
      <c r="Q199" s="484"/>
      <c r="R199" s="484"/>
      <c r="S199" s="484"/>
    </row>
    <row r="200" spans="1:19" ht="13.8" x14ac:dyDescent="0.3">
      <c r="A200" s="484"/>
      <c r="B200" s="484"/>
      <c r="C200" s="484"/>
      <c r="D200" s="484"/>
      <c r="E200" s="484"/>
      <c r="F200" s="484"/>
      <c r="G200" s="484"/>
      <c r="H200" s="484"/>
      <c r="I200" s="484"/>
      <c r="J200" s="484"/>
      <c r="K200" s="484"/>
      <c r="L200" s="484"/>
      <c r="M200" s="484"/>
      <c r="N200" s="484"/>
      <c r="O200" s="484"/>
      <c r="P200" s="484"/>
      <c r="Q200" s="484"/>
      <c r="R200" s="484"/>
      <c r="S200" s="484"/>
    </row>
    <row r="201" spans="1:19" ht="13.8" x14ac:dyDescent="0.3">
      <c r="A201" s="484"/>
      <c r="B201" s="484"/>
      <c r="C201" s="484"/>
      <c r="D201" s="484"/>
      <c r="E201" s="484"/>
      <c r="F201" s="484"/>
      <c r="G201" s="484"/>
      <c r="H201" s="484"/>
      <c r="I201" s="484"/>
      <c r="J201" s="484"/>
      <c r="K201" s="484"/>
      <c r="L201" s="484"/>
      <c r="M201" s="484"/>
      <c r="N201" s="484"/>
      <c r="O201" s="484"/>
      <c r="P201" s="484"/>
      <c r="Q201" s="484"/>
      <c r="R201" s="484"/>
      <c r="S201" s="484"/>
    </row>
    <row r="202" spans="1:19" ht="13.8" x14ac:dyDescent="0.3">
      <c r="A202" s="484"/>
      <c r="B202" s="484"/>
      <c r="C202" s="484"/>
      <c r="D202" s="484"/>
      <c r="E202" s="484"/>
      <c r="F202" s="484"/>
      <c r="G202" s="484"/>
      <c r="H202" s="484"/>
      <c r="I202" s="484"/>
      <c r="J202" s="484"/>
      <c r="K202" s="484"/>
      <c r="L202" s="484"/>
      <c r="M202" s="484"/>
      <c r="N202" s="484"/>
      <c r="O202" s="484"/>
      <c r="P202" s="484"/>
      <c r="Q202" s="484"/>
      <c r="R202" s="484"/>
      <c r="S202" s="484"/>
    </row>
    <row r="203" spans="1:19" ht="13.8" x14ac:dyDescent="0.3">
      <c r="A203" s="484"/>
      <c r="B203" s="484"/>
      <c r="C203" s="484"/>
      <c r="D203" s="484"/>
      <c r="E203" s="484"/>
      <c r="F203" s="484"/>
      <c r="G203" s="484"/>
      <c r="H203" s="484"/>
      <c r="I203" s="484"/>
      <c r="J203" s="484"/>
      <c r="K203" s="484"/>
      <c r="L203" s="484"/>
      <c r="M203" s="484"/>
      <c r="N203" s="484"/>
      <c r="O203" s="484"/>
      <c r="P203" s="484"/>
      <c r="Q203" s="484"/>
      <c r="R203" s="484"/>
      <c r="S203" s="484"/>
    </row>
    <row r="204" spans="1:19" ht="13.8" x14ac:dyDescent="0.3">
      <c r="A204" s="484"/>
      <c r="B204" s="484"/>
      <c r="C204" s="484"/>
      <c r="D204" s="484"/>
      <c r="E204" s="484"/>
      <c r="F204" s="484"/>
      <c r="G204" s="484"/>
      <c r="H204" s="484"/>
      <c r="I204" s="484"/>
      <c r="J204" s="484"/>
      <c r="K204" s="484"/>
      <c r="L204" s="484"/>
      <c r="M204" s="484"/>
      <c r="N204" s="484"/>
      <c r="O204" s="484"/>
      <c r="P204" s="484"/>
      <c r="Q204" s="484"/>
      <c r="R204" s="484"/>
      <c r="S204" s="484"/>
    </row>
    <row r="205" spans="1:19" ht="13.8" x14ac:dyDescent="0.3">
      <c r="A205" s="484"/>
      <c r="B205" s="484"/>
      <c r="C205" s="484"/>
      <c r="D205" s="484"/>
      <c r="E205" s="484"/>
      <c r="F205" s="484"/>
      <c r="G205" s="484"/>
      <c r="H205" s="484"/>
      <c r="I205" s="484"/>
      <c r="J205" s="484"/>
      <c r="K205" s="484"/>
      <c r="L205" s="484"/>
      <c r="M205" s="484"/>
      <c r="N205" s="484"/>
      <c r="O205" s="484"/>
      <c r="P205" s="484"/>
      <c r="Q205" s="484"/>
      <c r="R205" s="484"/>
      <c r="S205" s="484"/>
    </row>
    <row r="206" spans="1:19" ht="13.8" x14ac:dyDescent="0.3">
      <c r="A206" s="484"/>
      <c r="B206" s="484"/>
      <c r="C206" s="484"/>
      <c r="D206" s="484"/>
      <c r="E206" s="484"/>
      <c r="F206" s="484"/>
      <c r="G206" s="484"/>
      <c r="H206" s="484"/>
      <c r="I206" s="484"/>
      <c r="J206" s="484"/>
      <c r="K206" s="484"/>
      <c r="L206" s="484"/>
      <c r="M206" s="484"/>
      <c r="N206" s="484"/>
      <c r="O206" s="484"/>
      <c r="P206" s="484"/>
      <c r="Q206" s="484"/>
      <c r="R206" s="484"/>
      <c r="S206" s="484"/>
    </row>
    <row r="207" spans="1:19" ht="13.8" x14ac:dyDescent="0.3">
      <c r="A207" s="484"/>
      <c r="B207" s="484"/>
      <c r="C207" s="484"/>
      <c r="D207" s="484"/>
      <c r="E207" s="484"/>
      <c r="F207" s="484"/>
      <c r="G207" s="484"/>
      <c r="H207" s="484"/>
      <c r="I207" s="484"/>
      <c r="J207" s="484"/>
      <c r="K207" s="484"/>
      <c r="L207" s="484"/>
      <c r="M207" s="484"/>
      <c r="N207" s="484"/>
      <c r="O207" s="484"/>
      <c r="P207" s="484"/>
      <c r="Q207" s="484"/>
      <c r="R207" s="484"/>
      <c r="S207" s="484"/>
    </row>
    <row r="208" spans="1:19" ht="13.8" x14ac:dyDescent="0.3">
      <c r="A208" s="484"/>
      <c r="B208" s="484"/>
      <c r="C208" s="484"/>
      <c r="D208" s="484"/>
      <c r="E208" s="484"/>
      <c r="F208" s="484"/>
      <c r="G208" s="484"/>
      <c r="H208" s="484"/>
      <c r="I208" s="484"/>
      <c r="J208" s="484"/>
      <c r="K208" s="484"/>
      <c r="L208" s="484"/>
      <c r="M208" s="484"/>
      <c r="N208" s="484"/>
      <c r="O208" s="484"/>
      <c r="P208" s="484"/>
      <c r="Q208" s="484"/>
      <c r="R208" s="484"/>
      <c r="S208" s="484"/>
    </row>
    <row r="209" spans="1:19" ht="13.8" x14ac:dyDescent="0.3">
      <c r="A209" s="484"/>
      <c r="B209" s="484"/>
      <c r="C209" s="484"/>
      <c r="D209" s="484"/>
      <c r="E209" s="484"/>
      <c r="F209" s="484"/>
      <c r="G209" s="484"/>
      <c r="H209" s="484"/>
      <c r="I209" s="484"/>
      <c r="J209" s="484"/>
      <c r="K209" s="484"/>
      <c r="L209" s="484"/>
      <c r="M209" s="484"/>
      <c r="N209" s="484"/>
      <c r="O209" s="484"/>
      <c r="P209" s="484"/>
      <c r="Q209" s="484"/>
      <c r="R209" s="484"/>
      <c r="S209" s="484"/>
    </row>
    <row r="210" spans="1:19" ht="13.8" x14ac:dyDescent="0.3">
      <c r="A210" s="484"/>
      <c r="B210" s="484"/>
      <c r="C210" s="484"/>
      <c r="D210" s="484"/>
      <c r="E210" s="484"/>
      <c r="F210" s="484"/>
      <c r="G210" s="484"/>
      <c r="H210" s="484"/>
      <c r="I210" s="484"/>
      <c r="J210" s="484"/>
      <c r="K210" s="484"/>
      <c r="L210" s="484"/>
      <c r="M210" s="484"/>
      <c r="N210" s="484"/>
      <c r="O210" s="484"/>
      <c r="P210" s="484"/>
      <c r="Q210" s="484"/>
      <c r="R210" s="484"/>
      <c r="S210" s="484"/>
    </row>
    <row r="211" spans="1:19" ht="13.8" x14ac:dyDescent="0.3">
      <c r="A211" s="484"/>
      <c r="B211" s="484"/>
      <c r="C211" s="484"/>
      <c r="D211" s="484"/>
      <c r="E211" s="484"/>
      <c r="F211" s="484"/>
      <c r="G211" s="484"/>
      <c r="H211" s="484"/>
      <c r="I211" s="484"/>
      <c r="J211" s="484"/>
      <c r="K211" s="484"/>
      <c r="L211" s="484"/>
      <c r="M211" s="484"/>
      <c r="N211" s="484"/>
      <c r="O211" s="484"/>
      <c r="P211" s="484"/>
      <c r="Q211" s="484"/>
      <c r="R211" s="484"/>
      <c r="S211" s="484"/>
    </row>
    <row r="212" spans="1:19" ht="13.8" x14ac:dyDescent="0.3">
      <c r="A212" s="484"/>
      <c r="B212" s="484"/>
      <c r="C212" s="484"/>
      <c r="D212" s="484"/>
      <c r="E212" s="484"/>
      <c r="F212" s="484"/>
      <c r="G212" s="484"/>
      <c r="H212" s="484"/>
      <c r="I212" s="484"/>
      <c r="J212" s="484"/>
      <c r="K212" s="484"/>
      <c r="L212" s="484"/>
      <c r="M212" s="484"/>
      <c r="N212" s="484"/>
      <c r="O212" s="484"/>
      <c r="P212" s="484"/>
      <c r="Q212" s="484"/>
      <c r="R212" s="484"/>
      <c r="S212" s="484"/>
    </row>
    <row r="213" spans="1:19" ht="13.8" x14ac:dyDescent="0.3">
      <c r="A213" s="484"/>
      <c r="B213" s="484"/>
      <c r="C213" s="484"/>
      <c r="D213" s="484"/>
      <c r="E213" s="484"/>
      <c r="F213" s="484"/>
      <c r="G213" s="484"/>
      <c r="H213" s="484"/>
      <c r="I213" s="484"/>
      <c r="J213" s="484"/>
      <c r="K213" s="484"/>
      <c r="L213" s="484"/>
      <c r="M213" s="484"/>
      <c r="N213" s="484"/>
      <c r="O213" s="484"/>
      <c r="P213" s="484"/>
      <c r="Q213" s="484"/>
      <c r="R213" s="484"/>
      <c r="S213" s="484"/>
    </row>
    <row r="214" spans="1:19" ht="13.8" x14ac:dyDescent="0.3">
      <c r="A214" s="484"/>
      <c r="B214" s="484"/>
      <c r="C214" s="484"/>
      <c r="D214" s="484"/>
      <c r="E214" s="484"/>
      <c r="F214" s="484"/>
      <c r="G214" s="484"/>
      <c r="H214" s="484"/>
      <c r="I214" s="484"/>
      <c r="J214" s="484"/>
      <c r="K214" s="484"/>
      <c r="L214" s="484"/>
      <c r="M214" s="484"/>
      <c r="N214" s="484"/>
      <c r="O214" s="484"/>
      <c r="P214" s="484"/>
      <c r="Q214" s="484"/>
      <c r="R214" s="484"/>
      <c r="S214" s="484"/>
    </row>
    <row r="215" spans="1:19" ht="13.8" x14ac:dyDescent="0.3">
      <c r="A215" s="484"/>
      <c r="B215" s="484"/>
      <c r="C215" s="484"/>
      <c r="D215" s="484"/>
      <c r="E215" s="484"/>
      <c r="F215" s="484"/>
      <c r="G215" s="484"/>
      <c r="H215" s="484"/>
      <c r="I215" s="484"/>
      <c r="J215" s="484"/>
      <c r="K215" s="484"/>
      <c r="L215" s="484"/>
      <c r="M215" s="484"/>
      <c r="N215" s="484"/>
      <c r="O215" s="484"/>
      <c r="P215" s="484"/>
      <c r="Q215" s="484"/>
      <c r="R215" s="484"/>
      <c r="S215" s="484"/>
    </row>
    <row r="216" spans="1:19" ht="13.8" x14ac:dyDescent="0.3">
      <c r="A216" s="484"/>
      <c r="B216" s="484"/>
      <c r="C216" s="484"/>
      <c r="D216" s="484"/>
      <c r="E216" s="484"/>
      <c r="F216" s="484"/>
      <c r="G216" s="484"/>
      <c r="H216" s="484"/>
      <c r="I216" s="484"/>
      <c r="J216" s="484"/>
      <c r="K216" s="484"/>
      <c r="L216" s="484"/>
      <c r="M216" s="484"/>
      <c r="N216" s="484"/>
      <c r="O216" s="484"/>
      <c r="P216" s="484"/>
      <c r="Q216" s="484"/>
      <c r="R216" s="484"/>
      <c r="S216" s="484"/>
    </row>
    <row r="217" spans="1:19" ht="13.8" x14ac:dyDescent="0.3">
      <c r="A217" s="484"/>
      <c r="B217" s="484"/>
      <c r="C217" s="484"/>
      <c r="D217" s="484"/>
      <c r="E217" s="484"/>
      <c r="F217" s="484"/>
      <c r="G217" s="484"/>
      <c r="H217" s="484"/>
      <c r="I217" s="484"/>
      <c r="J217" s="484"/>
      <c r="K217" s="484"/>
      <c r="L217" s="484"/>
      <c r="M217" s="484"/>
      <c r="N217" s="484"/>
      <c r="O217" s="484"/>
      <c r="P217" s="484"/>
      <c r="Q217" s="484"/>
      <c r="R217" s="484"/>
      <c r="S217" s="484"/>
    </row>
    <row r="218" spans="1:19" ht="13.8" x14ac:dyDescent="0.3">
      <c r="A218" s="484"/>
      <c r="B218" s="484"/>
      <c r="C218" s="484"/>
      <c r="D218" s="484"/>
      <c r="E218" s="484"/>
      <c r="F218" s="484"/>
      <c r="G218" s="484"/>
      <c r="H218" s="484"/>
      <c r="I218" s="484"/>
      <c r="J218" s="484"/>
      <c r="K218" s="484"/>
      <c r="L218" s="484"/>
      <c r="M218" s="484"/>
      <c r="N218" s="484"/>
      <c r="O218" s="484"/>
      <c r="P218" s="484"/>
      <c r="Q218" s="484"/>
      <c r="R218" s="484"/>
      <c r="S218" s="484"/>
    </row>
    <row r="219" spans="1:19" ht="13.8" x14ac:dyDescent="0.3">
      <c r="A219" s="484"/>
      <c r="B219" s="484"/>
      <c r="C219" s="484"/>
      <c r="D219" s="484"/>
      <c r="E219" s="484"/>
      <c r="F219" s="484"/>
      <c r="G219" s="484"/>
      <c r="H219" s="484"/>
      <c r="I219" s="484"/>
      <c r="J219" s="484"/>
      <c r="K219" s="484"/>
      <c r="L219" s="484"/>
      <c r="M219" s="484"/>
      <c r="N219" s="484"/>
      <c r="O219" s="484"/>
      <c r="P219" s="484"/>
      <c r="Q219" s="484"/>
      <c r="R219" s="484"/>
      <c r="S219" s="484"/>
    </row>
    <row r="220" spans="1:19" ht="13.8" x14ac:dyDescent="0.3">
      <c r="A220" s="484"/>
      <c r="B220" s="484"/>
      <c r="C220" s="484"/>
      <c r="D220" s="484"/>
      <c r="E220" s="484"/>
      <c r="F220" s="484"/>
      <c r="G220" s="484"/>
      <c r="H220" s="484"/>
      <c r="I220" s="484"/>
      <c r="J220" s="484"/>
      <c r="K220" s="484"/>
      <c r="L220" s="484"/>
      <c r="M220" s="484"/>
      <c r="N220" s="484"/>
      <c r="O220" s="484"/>
      <c r="P220" s="484"/>
      <c r="Q220" s="484"/>
      <c r="R220" s="484"/>
      <c r="S220" s="484"/>
    </row>
    <row r="221" spans="1:19" ht="13.8" x14ac:dyDescent="0.3">
      <c r="A221" s="484"/>
      <c r="B221" s="484"/>
      <c r="C221" s="484"/>
      <c r="D221" s="484"/>
      <c r="E221" s="484"/>
      <c r="F221" s="484"/>
      <c r="G221" s="484"/>
      <c r="H221" s="484"/>
      <c r="I221" s="484"/>
      <c r="J221" s="484"/>
      <c r="K221" s="484"/>
      <c r="L221" s="484"/>
      <c r="M221" s="484"/>
      <c r="N221" s="484"/>
      <c r="O221" s="484"/>
      <c r="P221" s="484"/>
      <c r="Q221" s="484"/>
      <c r="R221" s="484"/>
      <c r="S221" s="484"/>
    </row>
    <row r="222" spans="1:19" ht="13.8" x14ac:dyDescent="0.3">
      <c r="A222" s="484"/>
      <c r="B222" s="484"/>
      <c r="C222" s="484"/>
      <c r="D222" s="484"/>
      <c r="E222" s="484"/>
      <c r="F222" s="484"/>
      <c r="G222" s="484"/>
      <c r="H222" s="484"/>
      <c r="I222" s="484"/>
      <c r="J222" s="484"/>
      <c r="K222" s="484"/>
      <c r="L222" s="484"/>
      <c r="M222" s="484"/>
      <c r="N222" s="484"/>
      <c r="O222" s="484"/>
      <c r="P222" s="484"/>
      <c r="Q222" s="484"/>
      <c r="R222" s="484"/>
      <c r="S222" s="484"/>
    </row>
    <row r="223" spans="1:19" ht="13.8" x14ac:dyDescent="0.3">
      <c r="A223" s="484"/>
      <c r="B223" s="484"/>
      <c r="C223" s="484"/>
      <c r="D223" s="484"/>
      <c r="E223" s="484"/>
      <c r="F223" s="484"/>
      <c r="G223" s="484"/>
      <c r="H223" s="484"/>
      <c r="I223" s="484"/>
      <c r="J223" s="484"/>
      <c r="K223" s="484"/>
      <c r="L223" s="484"/>
      <c r="M223" s="484"/>
      <c r="N223" s="484"/>
      <c r="O223" s="484"/>
      <c r="P223" s="484"/>
      <c r="Q223" s="484"/>
      <c r="R223" s="484"/>
      <c r="S223" s="484"/>
    </row>
    <row r="224" spans="1:19" ht="13.8" x14ac:dyDescent="0.3">
      <c r="A224" s="484"/>
      <c r="B224" s="484"/>
      <c r="C224" s="484"/>
      <c r="D224" s="484"/>
      <c r="E224" s="484"/>
      <c r="F224" s="484"/>
      <c r="G224" s="484"/>
      <c r="H224" s="484"/>
      <c r="I224" s="484"/>
      <c r="J224" s="484"/>
      <c r="K224" s="484"/>
      <c r="L224" s="484"/>
      <c r="M224" s="484"/>
      <c r="N224" s="484"/>
      <c r="O224" s="484"/>
      <c r="P224" s="484"/>
      <c r="Q224" s="484"/>
      <c r="R224" s="484"/>
      <c r="S224" s="484"/>
    </row>
    <row r="225" spans="1:19" ht="13.8" x14ac:dyDescent="0.3">
      <c r="A225" s="484"/>
      <c r="B225" s="484"/>
      <c r="C225" s="484"/>
      <c r="D225" s="484"/>
      <c r="E225" s="484"/>
      <c r="F225" s="484"/>
      <c r="G225" s="484"/>
      <c r="H225" s="484"/>
      <c r="I225" s="484"/>
      <c r="J225" s="484"/>
      <c r="K225" s="484"/>
      <c r="L225" s="484"/>
      <c r="M225" s="484"/>
      <c r="N225" s="484"/>
      <c r="O225" s="484"/>
      <c r="P225" s="484"/>
      <c r="Q225" s="484"/>
      <c r="R225" s="484"/>
      <c r="S225" s="484"/>
    </row>
    <row r="226" spans="1:19" ht="13.8" x14ac:dyDescent="0.3">
      <c r="A226" s="484"/>
      <c r="B226" s="484"/>
      <c r="C226" s="484"/>
      <c r="D226" s="484"/>
      <c r="E226" s="484"/>
      <c r="F226" s="484"/>
      <c r="G226" s="484"/>
      <c r="H226" s="484"/>
      <c r="I226" s="484"/>
      <c r="J226" s="484"/>
      <c r="K226" s="484"/>
      <c r="L226" s="484"/>
      <c r="M226" s="484"/>
      <c r="N226" s="484"/>
      <c r="O226" s="484"/>
      <c r="P226" s="484"/>
      <c r="Q226" s="484"/>
      <c r="R226" s="484"/>
      <c r="S226" s="484"/>
    </row>
    <row r="227" spans="1:19" ht="13.8" x14ac:dyDescent="0.3">
      <c r="A227" s="484"/>
      <c r="B227" s="484"/>
      <c r="C227" s="484"/>
      <c r="D227" s="484"/>
      <c r="E227" s="484"/>
      <c r="F227" s="484"/>
      <c r="G227" s="484"/>
      <c r="H227" s="484"/>
      <c r="I227" s="484"/>
      <c r="J227" s="484"/>
      <c r="K227" s="484"/>
      <c r="L227" s="484"/>
      <c r="M227" s="484"/>
      <c r="N227" s="484"/>
      <c r="O227" s="484"/>
      <c r="P227" s="484"/>
      <c r="Q227" s="484"/>
      <c r="R227" s="484"/>
      <c r="S227" s="484"/>
    </row>
    <row r="228" spans="1:19" ht="13.8" x14ac:dyDescent="0.3">
      <c r="A228" s="484"/>
      <c r="B228" s="484"/>
      <c r="C228" s="484"/>
      <c r="D228" s="484"/>
      <c r="E228" s="484"/>
      <c r="F228" s="484"/>
      <c r="G228" s="484"/>
      <c r="H228" s="484"/>
      <c r="I228" s="484"/>
      <c r="J228" s="484"/>
      <c r="K228" s="484"/>
      <c r="L228" s="484"/>
      <c r="M228" s="484"/>
      <c r="N228" s="484"/>
      <c r="O228" s="484"/>
      <c r="P228" s="484"/>
      <c r="Q228" s="484"/>
      <c r="R228" s="484"/>
      <c r="S228" s="484"/>
    </row>
    <row r="229" spans="1:19" ht="13.8" x14ac:dyDescent="0.3">
      <c r="A229" s="484"/>
      <c r="B229" s="484"/>
      <c r="C229" s="484"/>
      <c r="D229" s="484"/>
      <c r="E229" s="484"/>
      <c r="F229" s="484"/>
      <c r="G229" s="484"/>
      <c r="H229" s="484"/>
      <c r="I229" s="484"/>
      <c r="J229" s="484"/>
      <c r="K229" s="484"/>
      <c r="L229" s="484"/>
      <c r="M229" s="484"/>
      <c r="N229" s="484"/>
      <c r="O229" s="484"/>
      <c r="P229" s="484"/>
      <c r="Q229" s="484"/>
      <c r="R229" s="484"/>
      <c r="S229" s="484"/>
    </row>
    <row r="230" spans="1:19" ht="13.8" x14ac:dyDescent="0.3">
      <c r="A230" s="484"/>
      <c r="B230" s="484"/>
      <c r="C230" s="484"/>
      <c r="D230" s="484"/>
      <c r="E230" s="484"/>
      <c r="F230" s="484"/>
      <c r="G230" s="484"/>
      <c r="H230" s="484"/>
      <c r="I230" s="484"/>
      <c r="J230" s="484"/>
      <c r="K230" s="484"/>
      <c r="L230" s="484"/>
      <c r="M230" s="484"/>
      <c r="N230" s="484"/>
      <c r="O230" s="484"/>
      <c r="P230" s="484"/>
      <c r="Q230" s="484"/>
      <c r="R230" s="484"/>
      <c r="S230" s="484"/>
    </row>
    <row r="231" spans="1:19" ht="13.8" x14ac:dyDescent="0.3">
      <c r="A231" s="484"/>
      <c r="B231" s="484"/>
      <c r="C231" s="484"/>
      <c r="D231" s="484"/>
      <c r="E231" s="484"/>
      <c r="F231" s="484"/>
      <c r="G231" s="484"/>
      <c r="H231" s="484"/>
      <c r="I231" s="484"/>
      <c r="J231" s="484"/>
      <c r="K231" s="484"/>
      <c r="L231" s="484"/>
      <c r="M231" s="484"/>
      <c r="N231" s="484"/>
      <c r="O231" s="484"/>
      <c r="P231" s="484"/>
      <c r="Q231" s="484"/>
      <c r="R231" s="484"/>
      <c r="S231" s="484"/>
    </row>
    <row r="232" spans="1:19" ht="13.8" x14ac:dyDescent="0.3">
      <c r="A232" s="484"/>
      <c r="B232" s="484"/>
      <c r="C232" s="484"/>
      <c r="D232" s="484"/>
      <c r="E232" s="484"/>
      <c r="F232" s="484"/>
      <c r="G232" s="484"/>
      <c r="H232" s="484"/>
      <c r="I232" s="484"/>
      <c r="J232" s="484"/>
      <c r="K232" s="484"/>
      <c r="L232" s="484"/>
      <c r="M232" s="484"/>
      <c r="N232" s="484"/>
      <c r="O232" s="484"/>
      <c r="P232" s="484"/>
      <c r="Q232" s="484"/>
      <c r="R232" s="484"/>
      <c r="S232" s="484"/>
    </row>
    <row r="233" spans="1:19" ht="13.8" x14ac:dyDescent="0.3">
      <c r="A233" s="484"/>
      <c r="B233" s="484"/>
      <c r="C233" s="484"/>
      <c r="D233" s="484"/>
      <c r="E233" s="484"/>
      <c r="F233" s="484"/>
      <c r="G233" s="484"/>
      <c r="H233" s="484"/>
      <c r="I233" s="484"/>
      <c r="J233" s="484"/>
      <c r="K233" s="484"/>
      <c r="L233" s="484"/>
      <c r="M233" s="484"/>
      <c r="N233" s="484"/>
      <c r="O233" s="484"/>
      <c r="P233" s="484"/>
      <c r="Q233" s="484"/>
      <c r="R233" s="484"/>
      <c r="S233" s="484"/>
    </row>
    <row r="234" spans="1:19" ht="13.8" x14ac:dyDescent="0.3">
      <c r="A234" s="484"/>
      <c r="B234" s="484"/>
      <c r="C234" s="484"/>
      <c r="D234" s="484"/>
      <c r="E234" s="484"/>
      <c r="F234" s="484"/>
      <c r="G234" s="484"/>
      <c r="H234" s="484"/>
      <c r="I234" s="484"/>
      <c r="J234" s="484"/>
      <c r="K234" s="484"/>
      <c r="L234" s="484"/>
      <c r="M234" s="484"/>
      <c r="N234" s="484"/>
      <c r="O234" s="484"/>
      <c r="P234" s="484"/>
      <c r="Q234" s="484"/>
      <c r="R234" s="484"/>
      <c r="S234" s="484"/>
    </row>
    <row r="235" spans="1:19" ht="13.8" x14ac:dyDescent="0.3">
      <c r="A235" s="484"/>
      <c r="B235" s="484"/>
      <c r="C235" s="484"/>
      <c r="D235" s="484"/>
      <c r="E235" s="484"/>
      <c r="F235" s="484"/>
      <c r="G235" s="484"/>
      <c r="H235" s="484"/>
      <c r="I235" s="484"/>
      <c r="J235" s="484"/>
      <c r="K235" s="484"/>
      <c r="L235" s="484"/>
      <c r="M235" s="484"/>
      <c r="N235" s="484"/>
      <c r="O235" s="484"/>
      <c r="P235" s="484"/>
      <c r="Q235" s="484"/>
      <c r="R235" s="484"/>
      <c r="S235" s="484"/>
    </row>
    <row r="236" spans="1:19" ht="13.8" x14ac:dyDescent="0.3">
      <c r="A236" s="484"/>
      <c r="B236" s="484"/>
      <c r="C236" s="484"/>
      <c r="D236" s="484"/>
      <c r="E236" s="484"/>
      <c r="F236" s="484"/>
      <c r="G236" s="484"/>
      <c r="H236" s="484"/>
      <c r="I236" s="484"/>
      <c r="J236" s="484"/>
      <c r="K236" s="484"/>
      <c r="L236" s="484"/>
      <c r="M236" s="484"/>
      <c r="N236" s="484"/>
      <c r="O236" s="484"/>
      <c r="P236" s="484"/>
      <c r="Q236" s="484"/>
      <c r="R236" s="484"/>
      <c r="S236" s="484"/>
    </row>
    <row r="237" spans="1:19" ht="13.8" x14ac:dyDescent="0.3">
      <c r="A237" s="484"/>
      <c r="B237" s="484"/>
      <c r="C237" s="484"/>
      <c r="D237" s="484"/>
      <c r="E237" s="484"/>
      <c r="F237" s="484"/>
      <c r="G237" s="484"/>
      <c r="H237" s="484"/>
      <c r="I237" s="484"/>
      <c r="J237" s="484"/>
      <c r="K237" s="484"/>
      <c r="L237" s="484"/>
      <c r="M237" s="484"/>
      <c r="N237" s="484"/>
      <c r="O237" s="484"/>
      <c r="P237" s="484"/>
      <c r="Q237" s="484"/>
      <c r="R237" s="484"/>
      <c r="S237" s="484"/>
    </row>
    <row r="238" spans="1:19" ht="13.8" x14ac:dyDescent="0.3">
      <c r="A238" s="484"/>
      <c r="B238" s="484"/>
      <c r="C238" s="484"/>
      <c r="D238" s="484"/>
      <c r="E238" s="484"/>
      <c r="F238" s="484"/>
      <c r="G238" s="484"/>
      <c r="H238" s="484"/>
      <c r="I238" s="484"/>
      <c r="J238" s="484"/>
      <c r="K238" s="484"/>
      <c r="L238" s="484"/>
      <c r="M238" s="484"/>
      <c r="N238" s="484"/>
      <c r="O238" s="484"/>
      <c r="P238" s="484"/>
      <c r="Q238" s="484"/>
      <c r="R238" s="484"/>
      <c r="S238" s="484"/>
    </row>
    <row r="239" spans="1:19" ht="13.8" x14ac:dyDescent="0.3">
      <c r="A239" s="484"/>
      <c r="B239" s="484"/>
      <c r="C239" s="484"/>
      <c r="D239" s="484"/>
      <c r="E239" s="484"/>
      <c r="F239" s="484"/>
      <c r="G239" s="484"/>
      <c r="H239" s="484"/>
      <c r="I239" s="484"/>
      <c r="J239" s="484"/>
      <c r="K239" s="484"/>
      <c r="L239" s="484"/>
      <c r="M239" s="484"/>
      <c r="N239" s="484"/>
      <c r="O239" s="484"/>
      <c r="P239" s="484"/>
      <c r="Q239" s="484"/>
      <c r="R239" s="484"/>
      <c r="S239" s="484"/>
    </row>
    <row r="240" spans="1:19" ht="13.8" x14ac:dyDescent="0.3">
      <c r="A240" s="484"/>
      <c r="B240" s="484"/>
      <c r="C240" s="484"/>
      <c r="D240" s="484"/>
      <c r="E240" s="484"/>
      <c r="F240" s="484"/>
      <c r="G240" s="484"/>
      <c r="H240" s="484"/>
      <c r="I240" s="484"/>
      <c r="J240" s="484"/>
      <c r="K240" s="484"/>
      <c r="L240" s="484"/>
      <c r="M240" s="484"/>
      <c r="N240" s="484"/>
      <c r="O240" s="484"/>
      <c r="P240" s="484"/>
      <c r="Q240" s="484"/>
      <c r="R240" s="484"/>
      <c r="S240" s="484"/>
    </row>
    <row r="241" spans="1:19" ht="13.8" x14ac:dyDescent="0.3">
      <c r="A241" s="484"/>
      <c r="B241" s="484"/>
      <c r="C241" s="484"/>
      <c r="D241" s="484"/>
      <c r="E241" s="484"/>
      <c r="F241" s="484"/>
      <c r="G241" s="484"/>
      <c r="H241" s="484"/>
      <c r="I241" s="484"/>
      <c r="J241" s="484"/>
      <c r="K241" s="484"/>
      <c r="L241" s="484"/>
      <c r="M241" s="484"/>
      <c r="N241" s="484"/>
      <c r="O241" s="484"/>
      <c r="P241" s="484"/>
      <c r="Q241" s="484"/>
      <c r="R241" s="484"/>
      <c r="S241" s="484"/>
    </row>
    <row r="242" spans="1:19" ht="13.8" x14ac:dyDescent="0.3">
      <c r="A242" s="484"/>
      <c r="B242" s="484"/>
      <c r="C242" s="484"/>
      <c r="D242" s="484"/>
      <c r="E242" s="484"/>
      <c r="F242" s="484"/>
      <c r="G242" s="484"/>
      <c r="H242" s="484"/>
      <c r="I242" s="484"/>
      <c r="J242" s="484"/>
      <c r="K242" s="484"/>
      <c r="L242" s="484"/>
      <c r="M242" s="484"/>
      <c r="N242" s="484"/>
      <c r="O242" s="484"/>
      <c r="P242" s="484"/>
      <c r="Q242" s="484"/>
      <c r="R242" s="484"/>
      <c r="S242" s="484"/>
    </row>
    <row r="243" spans="1:19" ht="13.8" x14ac:dyDescent="0.3">
      <c r="A243" s="484"/>
      <c r="B243" s="484"/>
      <c r="C243" s="484"/>
      <c r="D243" s="484"/>
      <c r="E243" s="484"/>
      <c r="F243" s="484"/>
      <c r="G243" s="484"/>
      <c r="H243" s="484"/>
      <c r="I243" s="484"/>
      <c r="J243" s="484"/>
      <c r="K243" s="484"/>
      <c r="L243" s="484"/>
      <c r="M243" s="484"/>
      <c r="N243" s="484"/>
      <c r="O243" s="484"/>
      <c r="P243" s="484"/>
      <c r="Q243" s="484"/>
      <c r="R243" s="484"/>
      <c r="S243" s="484"/>
    </row>
    <row r="244" spans="1:19" ht="13.8" x14ac:dyDescent="0.3">
      <c r="A244" s="484"/>
      <c r="B244" s="484"/>
      <c r="C244" s="484"/>
      <c r="D244" s="484"/>
      <c r="E244" s="484"/>
      <c r="F244" s="484"/>
      <c r="G244" s="484"/>
      <c r="H244" s="484"/>
      <c r="I244" s="484"/>
      <c r="J244" s="484"/>
      <c r="K244" s="484"/>
      <c r="L244" s="484"/>
      <c r="M244" s="484"/>
      <c r="N244" s="484"/>
      <c r="O244" s="484"/>
      <c r="P244" s="484"/>
      <c r="Q244" s="484"/>
      <c r="R244" s="484"/>
      <c r="S244" s="484"/>
    </row>
    <row r="245" spans="1:19" ht="13.8" x14ac:dyDescent="0.3">
      <c r="A245" s="484"/>
      <c r="B245" s="484"/>
      <c r="C245" s="484"/>
      <c r="D245" s="484"/>
      <c r="E245" s="484"/>
      <c r="F245" s="484"/>
      <c r="G245" s="484"/>
      <c r="H245" s="484"/>
      <c r="I245" s="484"/>
      <c r="J245" s="484"/>
      <c r="K245" s="484"/>
      <c r="L245" s="484"/>
      <c r="M245" s="484"/>
      <c r="N245" s="484"/>
      <c r="O245" s="484"/>
      <c r="P245" s="484"/>
      <c r="Q245" s="484"/>
      <c r="R245" s="484"/>
      <c r="S245" s="484"/>
    </row>
    <row r="246" spans="1:19" ht="13.8" x14ac:dyDescent="0.3">
      <c r="A246" s="484"/>
      <c r="B246" s="484"/>
      <c r="C246" s="484"/>
      <c r="D246" s="484"/>
      <c r="E246" s="484"/>
      <c r="F246" s="484"/>
      <c r="G246" s="484"/>
      <c r="H246" s="484"/>
      <c r="I246" s="484"/>
      <c r="J246" s="484"/>
      <c r="K246" s="484"/>
      <c r="L246" s="484"/>
      <c r="M246" s="484"/>
      <c r="N246" s="484"/>
      <c r="O246" s="484"/>
      <c r="P246" s="484"/>
      <c r="Q246" s="484"/>
      <c r="R246" s="484"/>
      <c r="S246" s="484"/>
    </row>
    <row r="247" spans="1:19" ht="13.8" x14ac:dyDescent="0.3">
      <c r="A247" s="484"/>
      <c r="B247" s="484"/>
      <c r="C247" s="484"/>
      <c r="D247" s="484"/>
      <c r="E247" s="484"/>
      <c r="F247" s="484"/>
      <c r="G247" s="484"/>
      <c r="H247" s="484"/>
      <c r="I247" s="484"/>
      <c r="J247" s="484"/>
      <c r="K247" s="484"/>
      <c r="L247" s="484"/>
      <c r="M247" s="484"/>
      <c r="N247" s="484"/>
      <c r="O247" s="484"/>
      <c r="P247" s="484"/>
      <c r="Q247" s="484"/>
      <c r="R247" s="484"/>
      <c r="S247" s="484"/>
    </row>
    <row r="248" spans="1:19" ht="13.8" x14ac:dyDescent="0.3">
      <c r="A248" s="484"/>
      <c r="B248" s="484"/>
      <c r="C248" s="484"/>
      <c r="D248" s="484"/>
      <c r="E248" s="484"/>
      <c r="F248" s="484"/>
      <c r="G248" s="484"/>
      <c r="H248" s="484"/>
      <c r="I248" s="484"/>
      <c r="J248" s="484"/>
      <c r="K248" s="484"/>
      <c r="L248" s="484"/>
      <c r="M248" s="484"/>
      <c r="N248" s="484"/>
      <c r="O248" s="484"/>
      <c r="P248" s="484"/>
      <c r="Q248" s="484"/>
      <c r="R248" s="484"/>
      <c r="S248" s="484"/>
    </row>
    <row r="249" spans="1:19" ht="13.8" x14ac:dyDescent="0.3">
      <c r="A249" s="484"/>
      <c r="B249" s="484"/>
      <c r="C249" s="484"/>
      <c r="D249" s="484"/>
      <c r="E249" s="484"/>
      <c r="F249" s="484"/>
      <c r="G249" s="484"/>
      <c r="H249" s="484"/>
      <c r="I249" s="484"/>
      <c r="J249" s="484"/>
      <c r="K249" s="484"/>
      <c r="L249" s="484"/>
      <c r="M249" s="484"/>
      <c r="N249" s="484"/>
      <c r="O249" s="484"/>
      <c r="P249" s="484"/>
      <c r="Q249" s="484"/>
      <c r="R249" s="484"/>
      <c r="S249" s="484"/>
    </row>
  </sheetData>
  <mergeCells count="2">
    <mergeCell ref="A1:E1"/>
    <mergeCell ref="A3:E4"/>
  </mergeCells>
  <pageMargins left="1.1200000000000001" right="0.75" top="0.6" bottom="1" header="0.5" footer="0.5"/>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085B3-B1D7-4300-87A4-D8135631F136}">
  <dimension ref="A1:M65"/>
  <sheetViews>
    <sheetView view="pageBreakPreview" topLeftCell="A11" zoomScale="60" zoomScaleNormal="100" workbookViewId="0">
      <selection activeCell="A56" sqref="A56:I56"/>
    </sheetView>
  </sheetViews>
  <sheetFormatPr defaultColWidth="8.90625" defaultRowHeight="14.4" x14ac:dyDescent="0.3"/>
  <cols>
    <col min="1" max="1" width="10.6328125" style="135" customWidth="1"/>
    <col min="2" max="2" width="9.6328125" style="135" customWidth="1"/>
    <col min="3" max="7" width="8.90625" style="135"/>
    <col min="8" max="8" width="43.08984375" style="135" customWidth="1"/>
    <col min="9" max="9" width="7.36328125" style="135" customWidth="1"/>
    <col min="10" max="12" width="8.90625" style="135"/>
    <col min="13" max="13" width="6.453125" style="135" customWidth="1"/>
    <col min="14" max="15" width="8.90625" style="135"/>
    <col min="16" max="16" width="9.08984375" style="135" customWidth="1"/>
    <col min="17" max="16384" width="8.90625" style="135"/>
  </cols>
  <sheetData>
    <row r="1" spans="1:13" ht="18" x14ac:dyDescent="0.35">
      <c r="A1" s="133" t="s">
        <v>228</v>
      </c>
      <c r="B1" s="134"/>
      <c r="C1" s="134"/>
      <c r="D1" s="134"/>
      <c r="E1" s="134"/>
      <c r="F1" s="134"/>
      <c r="G1" s="134"/>
      <c r="H1" s="134"/>
      <c r="I1" s="134"/>
      <c r="J1" s="134"/>
      <c r="K1" s="134"/>
      <c r="L1" s="134"/>
      <c r="M1" s="134"/>
    </row>
    <row r="2" spans="1:13" ht="18" x14ac:dyDescent="0.35">
      <c r="A2" s="133" t="s">
        <v>106</v>
      </c>
      <c r="B2" s="134"/>
      <c r="C2" s="134"/>
      <c r="D2" s="134"/>
      <c r="E2" s="134"/>
      <c r="F2" s="134"/>
      <c r="G2" s="134"/>
      <c r="H2" s="134"/>
      <c r="I2" s="134"/>
      <c r="J2" s="134"/>
      <c r="K2" s="134"/>
      <c r="L2" s="134"/>
      <c r="M2" s="134"/>
    </row>
    <row r="3" spans="1:13" x14ac:dyDescent="0.3">
      <c r="A3" s="134" t="s">
        <v>358</v>
      </c>
      <c r="B3" s="134"/>
      <c r="C3" s="134"/>
      <c r="D3" s="134"/>
      <c r="E3" s="134"/>
      <c r="F3" s="134"/>
      <c r="G3" s="134"/>
      <c r="H3" s="134"/>
      <c r="I3" s="134"/>
      <c r="J3" s="134"/>
      <c r="K3" s="134"/>
      <c r="L3" s="134"/>
      <c r="M3" s="134"/>
    </row>
    <row r="4" spans="1:13" ht="15" customHeight="1" x14ac:dyDescent="0.3">
      <c r="A4" s="136" t="s">
        <v>359</v>
      </c>
      <c r="B4" s="134"/>
      <c r="C4" s="134"/>
      <c r="D4" s="134"/>
      <c r="E4" s="134"/>
      <c r="F4" s="134"/>
      <c r="G4" s="134"/>
      <c r="H4" s="134"/>
      <c r="I4" s="134"/>
      <c r="J4" s="134"/>
      <c r="K4" s="134"/>
      <c r="L4" s="134"/>
      <c r="M4" s="134"/>
    </row>
    <row r="6" spans="1:13" x14ac:dyDescent="0.3">
      <c r="A6" s="137" t="s">
        <v>360</v>
      </c>
    </row>
    <row r="7" spans="1:13" x14ac:dyDescent="0.3">
      <c r="A7" s="135">
        <v>32.1</v>
      </c>
      <c r="B7" s="138" t="s">
        <v>361</v>
      </c>
    </row>
    <row r="8" spans="1:13" ht="16.2" x14ac:dyDescent="0.35">
      <c r="A8" s="135">
        <f>2*16+A7</f>
        <v>64.099999999999994</v>
      </c>
      <c r="B8" s="138" t="s">
        <v>362</v>
      </c>
      <c r="M8" s="138"/>
    </row>
    <row r="9" spans="1:13" x14ac:dyDescent="0.3">
      <c r="A9" s="135">
        <v>453.6</v>
      </c>
      <c r="B9" s="138" t="s">
        <v>363</v>
      </c>
    </row>
    <row r="10" spans="1:13" x14ac:dyDescent="0.3">
      <c r="A10" s="139">
        <v>2.2046199999999998</v>
      </c>
      <c r="B10" s="138" t="s">
        <v>364</v>
      </c>
    </row>
    <row r="11" spans="1:13" ht="18" x14ac:dyDescent="0.35">
      <c r="A11" s="506">
        <v>2000</v>
      </c>
      <c r="B11" s="507" t="s">
        <v>365</v>
      </c>
      <c r="C11" s="508"/>
      <c r="D11" s="508"/>
      <c r="E11" s="508"/>
      <c r="F11" s="508"/>
      <c r="G11" s="508"/>
      <c r="H11" s="508"/>
      <c r="I11" s="508"/>
      <c r="J11" s="508"/>
    </row>
    <row r="12" spans="1:13" ht="18" x14ac:dyDescent="0.35">
      <c r="A12" s="508">
        <v>0.74570000000000003</v>
      </c>
      <c r="B12" s="507" t="s">
        <v>366</v>
      </c>
      <c r="C12" s="508"/>
      <c r="D12" s="508"/>
      <c r="E12" s="508"/>
      <c r="F12" s="508"/>
      <c r="G12" s="508"/>
      <c r="H12" s="508"/>
      <c r="I12" s="508"/>
      <c r="J12" s="508"/>
    </row>
    <row r="13" spans="1:13" ht="18" x14ac:dyDescent="0.35">
      <c r="A13" s="509">
        <v>7</v>
      </c>
      <c r="B13" s="507" t="s">
        <v>367</v>
      </c>
      <c r="C13" s="508"/>
      <c r="D13" s="508"/>
      <c r="E13" s="508"/>
      <c r="F13" s="508"/>
      <c r="G13" s="508"/>
      <c r="H13" s="508"/>
      <c r="I13" s="508"/>
      <c r="J13" s="508"/>
    </row>
    <row r="14" spans="1:13" ht="18" x14ac:dyDescent="0.35">
      <c r="A14" s="510">
        <v>0.13700000000000001</v>
      </c>
      <c r="B14" s="507" t="s">
        <v>368</v>
      </c>
      <c r="C14" s="508"/>
      <c r="D14" s="508"/>
      <c r="E14" s="508"/>
      <c r="F14" s="508"/>
      <c r="G14" s="508"/>
      <c r="H14" s="508"/>
      <c r="I14" s="508"/>
      <c r="J14" s="508"/>
    </row>
    <row r="15" spans="1:13" ht="18" x14ac:dyDescent="0.35">
      <c r="A15" s="511">
        <v>2.5</v>
      </c>
      <c r="B15" s="507" t="s">
        <v>369</v>
      </c>
      <c r="C15" s="508"/>
      <c r="D15" s="508"/>
      <c r="E15" s="508"/>
      <c r="F15" s="508"/>
      <c r="G15" s="508"/>
      <c r="H15" s="508"/>
      <c r="I15" s="508"/>
      <c r="J15" s="508"/>
    </row>
    <row r="16" spans="1:13" ht="20.399999999999999" x14ac:dyDescent="0.45">
      <c r="A16" s="508">
        <v>73.959999999999994</v>
      </c>
      <c r="B16" s="507" t="s">
        <v>370</v>
      </c>
      <c r="C16" s="508"/>
      <c r="D16" s="508"/>
      <c r="E16" s="508"/>
      <c r="F16" s="508"/>
      <c r="G16" s="508"/>
      <c r="H16" s="508"/>
      <c r="I16" s="508"/>
      <c r="J16" s="508"/>
    </row>
    <row r="17" spans="1:13" ht="20.399999999999999" x14ac:dyDescent="0.45">
      <c r="A17" s="508">
        <v>3.0000000000000001E-3</v>
      </c>
      <c r="B17" s="507" t="s">
        <v>371</v>
      </c>
      <c r="C17" s="508"/>
      <c r="D17" s="508"/>
      <c r="E17" s="508"/>
      <c r="F17" s="508"/>
      <c r="G17" s="508"/>
      <c r="H17" s="508"/>
      <c r="I17" s="508"/>
      <c r="J17" s="508"/>
    </row>
    <row r="18" spans="1:13" ht="20.399999999999999" x14ac:dyDescent="0.45">
      <c r="A18" s="508">
        <v>5.9999999999999995E-4</v>
      </c>
      <c r="B18" s="507" t="s">
        <v>372</v>
      </c>
      <c r="C18" s="508"/>
      <c r="D18" s="508"/>
      <c r="E18" s="508"/>
      <c r="F18" s="508"/>
      <c r="G18" s="508"/>
      <c r="H18" s="508"/>
      <c r="I18" s="508"/>
      <c r="J18" s="508"/>
    </row>
    <row r="19" spans="1:13" ht="20.399999999999999" x14ac:dyDescent="0.45">
      <c r="A19" s="508">
        <v>1</v>
      </c>
      <c r="B19" s="507" t="s">
        <v>373</v>
      </c>
      <c r="C19" s="508"/>
      <c r="D19" s="508"/>
      <c r="E19" s="508"/>
      <c r="F19" s="508"/>
      <c r="G19" s="508"/>
      <c r="H19" s="508"/>
      <c r="I19" s="508"/>
      <c r="J19" s="508"/>
    </row>
    <row r="20" spans="1:13" ht="20.399999999999999" x14ac:dyDescent="0.45">
      <c r="A20" s="508">
        <v>25</v>
      </c>
      <c r="B20" s="507" t="s">
        <v>374</v>
      </c>
      <c r="C20" s="508"/>
      <c r="D20" s="508"/>
      <c r="E20" s="508"/>
      <c r="F20" s="508"/>
      <c r="G20" s="508"/>
      <c r="H20" s="508"/>
      <c r="I20" s="508"/>
      <c r="J20" s="508"/>
    </row>
    <row r="21" spans="1:13" ht="20.399999999999999" x14ac:dyDescent="0.45">
      <c r="A21" s="508">
        <v>298</v>
      </c>
      <c r="B21" s="507" t="s">
        <v>375</v>
      </c>
      <c r="C21" s="508"/>
      <c r="D21" s="508"/>
      <c r="E21" s="508"/>
      <c r="F21" s="508"/>
      <c r="G21" s="508"/>
      <c r="H21" s="508"/>
      <c r="I21" s="508"/>
      <c r="J21" s="508"/>
    </row>
    <row r="22" spans="1:13" ht="18" x14ac:dyDescent="0.35">
      <c r="A22" s="510"/>
      <c r="B22" s="507"/>
      <c r="C22" s="508"/>
      <c r="D22" s="508"/>
      <c r="E22" s="508"/>
      <c r="F22" s="508"/>
      <c r="G22" s="508"/>
      <c r="H22" s="508"/>
      <c r="I22" s="508"/>
      <c r="J22" s="508"/>
    </row>
    <row r="23" spans="1:13" ht="18" x14ac:dyDescent="0.35">
      <c r="A23" s="512" t="s">
        <v>376</v>
      </c>
      <c r="B23" s="508"/>
      <c r="C23" s="508"/>
      <c r="D23" s="508"/>
      <c r="E23" s="508"/>
      <c r="F23" s="508"/>
      <c r="G23" s="508"/>
      <c r="H23" s="508"/>
      <c r="I23" s="508"/>
      <c r="J23" s="508"/>
      <c r="M23" s="138"/>
    </row>
    <row r="24" spans="1:13" ht="18" x14ac:dyDescent="0.35">
      <c r="A24" s="506">
        <v>2</v>
      </c>
      <c r="B24" s="507" t="s">
        <v>377</v>
      </c>
      <c r="C24" s="508"/>
      <c r="D24" s="508"/>
      <c r="E24" s="508"/>
      <c r="F24" s="508"/>
      <c r="G24" s="508"/>
      <c r="H24" s="508"/>
      <c r="I24" s="508"/>
      <c r="J24" s="508"/>
      <c r="L24" s="138"/>
    </row>
    <row r="25" spans="1:13" ht="18" x14ac:dyDescent="0.35">
      <c r="A25" s="506">
        <v>1821</v>
      </c>
      <c r="B25" s="507" t="s">
        <v>378</v>
      </c>
      <c r="C25" s="508"/>
      <c r="D25" s="508"/>
      <c r="E25" s="508"/>
      <c r="F25" s="508"/>
      <c r="G25" s="508"/>
      <c r="H25" s="508"/>
      <c r="I25" s="508"/>
      <c r="J25" s="508"/>
      <c r="M25" s="138"/>
    </row>
    <row r="26" spans="1:13" ht="18" x14ac:dyDescent="0.35">
      <c r="A26" s="508">
        <v>0.33600000000000002</v>
      </c>
      <c r="B26" s="507" t="s">
        <v>379</v>
      </c>
      <c r="C26" s="508"/>
      <c r="D26" s="508"/>
      <c r="E26" s="508"/>
      <c r="F26" s="508"/>
      <c r="G26" s="508"/>
      <c r="H26" s="508"/>
      <c r="I26" s="508"/>
      <c r="J26" s="508"/>
    </row>
    <row r="27" spans="1:13" ht="18" x14ac:dyDescent="0.35">
      <c r="A27" s="508">
        <v>1.5E-3</v>
      </c>
      <c r="B27" s="507" t="s">
        <v>380</v>
      </c>
      <c r="C27" s="508"/>
      <c r="D27" s="508"/>
      <c r="E27" s="508"/>
      <c r="F27" s="508"/>
      <c r="G27" s="508"/>
      <c r="H27" s="508"/>
      <c r="I27" s="508"/>
      <c r="J27" s="508"/>
    </row>
    <row r="28" spans="1:13" ht="19.8" x14ac:dyDescent="0.35">
      <c r="A28" s="508">
        <v>500</v>
      </c>
      <c r="B28" s="507" t="s">
        <v>381</v>
      </c>
      <c r="C28" s="508"/>
      <c r="D28" s="508"/>
      <c r="E28" s="508"/>
      <c r="F28" s="508"/>
      <c r="G28" s="508"/>
      <c r="H28" s="508"/>
      <c r="I28" s="508"/>
      <c r="J28" s="508"/>
    </row>
    <row r="29" spans="1:13" ht="18" x14ac:dyDescent="0.35">
      <c r="A29" s="508"/>
      <c r="B29" s="508"/>
      <c r="C29" s="508"/>
      <c r="D29" s="508"/>
      <c r="E29" s="508"/>
      <c r="F29" s="508"/>
      <c r="G29" s="508"/>
      <c r="H29" s="508"/>
      <c r="I29" s="508"/>
      <c r="J29" s="508"/>
    </row>
    <row r="30" spans="1:13" ht="18" x14ac:dyDescent="0.35">
      <c r="A30" s="513" t="s">
        <v>382</v>
      </c>
      <c r="B30" s="508"/>
      <c r="C30" s="508"/>
      <c r="D30" s="508"/>
      <c r="E30" s="508"/>
      <c r="F30" s="508"/>
      <c r="G30" s="508"/>
      <c r="H30" s="508"/>
      <c r="I30" s="508"/>
      <c r="J30" s="508"/>
    </row>
    <row r="31" spans="1:13" ht="18" x14ac:dyDescent="0.35">
      <c r="A31" s="514">
        <f>A25*A26</f>
        <v>611.85599999999999</v>
      </c>
      <c r="B31" s="507" t="s">
        <v>383</v>
      </c>
      <c r="C31" s="508"/>
      <c r="D31" s="508"/>
      <c r="E31" s="508"/>
      <c r="F31" s="508"/>
      <c r="G31" s="508"/>
      <c r="H31" s="508"/>
      <c r="I31" s="508"/>
      <c r="J31" s="508"/>
    </row>
    <row r="32" spans="1:13" ht="18" x14ac:dyDescent="0.35">
      <c r="A32" s="515">
        <f>A31/A13</f>
        <v>87.408000000000001</v>
      </c>
      <c r="B32" s="507" t="s">
        <v>384</v>
      </c>
      <c r="C32" s="508"/>
      <c r="D32" s="508"/>
      <c r="E32" s="508"/>
      <c r="F32" s="508"/>
      <c r="G32" s="508"/>
      <c r="H32" s="508"/>
      <c r="I32" s="508"/>
      <c r="J32" s="508"/>
    </row>
    <row r="33" spans="1:13" ht="15.75" customHeight="1" x14ac:dyDescent="0.35">
      <c r="A33" s="508"/>
      <c r="B33" s="508"/>
      <c r="C33" s="508"/>
      <c r="D33" s="508"/>
      <c r="E33" s="508"/>
      <c r="F33" s="508"/>
      <c r="G33" s="508"/>
      <c r="H33" s="508"/>
      <c r="I33" s="508"/>
      <c r="J33" s="508"/>
    </row>
    <row r="34" spans="1:13" ht="18" x14ac:dyDescent="0.35">
      <c r="A34" s="512" t="s">
        <v>385</v>
      </c>
      <c r="B34" s="508"/>
      <c r="C34" s="508"/>
      <c r="D34" s="508"/>
      <c r="E34" s="508"/>
      <c r="F34" s="508"/>
      <c r="G34" s="508"/>
      <c r="H34" s="508"/>
      <c r="I34" s="508"/>
      <c r="J34" s="508"/>
    </row>
    <row r="35" spans="1:13" ht="9" customHeight="1" x14ac:dyDescent="0.35">
      <c r="A35" s="508"/>
      <c r="B35" s="508"/>
      <c r="C35" s="508"/>
      <c r="D35" s="508"/>
      <c r="E35" s="508"/>
      <c r="F35" s="508"/>
      <c r="G35" s="508"/>
      <c r="H35" s="508"/>
      <c r="I35" s="508"/>
      <c r="J35" s="508"/>
    </row>
    <row r="36" spans="1:13" ht="21" x14ac:dyDescent="0.45">
      <c r="A36" s="508"/>
      <c r="B36" s="516" t="s">
        <v>386</v>
      </c>
      <c r="C36" s="516" t="s">
        <v>387</v>
      </c>
      <c r="D36" s="516" t="s">
        <v>143</v>
      </c>
      <c r="E36" s="516" t="s">
        <v>165</v>
      </c>
      <c r="F36" s="516" t="s">
        <v>388</v>
      </c>
      <c r="G36" s="516" t="s">
        <v>389</v>
      </c>
      <c r="H36" s="508"/>
      <c r="I36" s="508"/>
      <c r="J36" s="508"/>
    </row>
    <row r="37" spans="1:13" ht="19.8" x14ac:dyDescent="0.35">
      <c r="A37" s="517" t="s">
        <v>390</v>
      </c>
      <c r="B37" s="518">
        <v>24.89</v>
      </c>
      <c r="C37" s="518">
        <v>0.40100000000000002</v>
      </c>
      <c r="D37" s="518">
        <v>0.84299999999999997</v>
      </c>
      <c r="E37" s="518">
        <v>0.08</v>
      </c>
      <c r="F37" s="518">
        <v>0.08</v>
      </c>
      <c r="G37" s="519">
        <v>1.7999999999999999E-2</v>
      </c>
      <c r="H37" s="508"/>
      <c r="I37" s="508"/>
      <c r="J37" s="508"/>
    </row>
    <row r="38" spans="1:13" ht="18" hidden="1" x14ac:dyDescent="0.35">
      <c r="A38" s="517" t="s">
        <v>391</v>
      </c>
      <c r="B38" s="520">
        <f t="shared" ref="B38:G38" si="0">B37*$A$24</f>
        <v>49.78</v>
      </c>
      <c r="C38" s="521">
        <f t="shared" si="0"/>
        <v>0.80200000000000005</v>
      </c>
      <c r="D38" s="520">
        <f t="shared" si="0"/>
        <v>1.6859999999999999</v>
      </c>
      <c r="E38" s="522">
        <f t="shared" si="0"/>
        <v>0.16</v>
      </c>
      <c r="F38" s="522">
        <f t="shared" si="0"/>
        <v>0.16</v>
      </c>
      <c r="G38" s="521">
        <f t="shared" si="0"/>
        <v>3.5999999999999997E-2</v>
      </c>
      <c r="H38" s="508"/>
      <c r="I38" s="508"/>
      <c r="J38" s="508"/>
    </row>
    <row r="39" spans="1:13" ht="18" x14ac:dyDescent="0.35">
      <c r="A39" s="517" t="s">
        <v>392</v>
      </c>
      <c r="B39" s="522">
        <f t="shared" ref="B39:G39" si="1">B37*$A$28/$A$11</f>
        <v>6.2225000000000001</v>
      </c>
      <c r="C39" s="521">
        <f t="shared" si="1"/>
        <v>0.10025000000000001</v>
      </c>
      <c r="D39" s="522">
        <f t="shared" si="1"/>
        <v>0.21074999999999999</v>
      </c>
      <c r="E39" s="521">
        <f t="shared" si="1"/>
        <v>0.02</v>
      </c>
      <c r="F39" s="521">
        <f t="shared" si="1"/>
        <v>0.02</v>
      </c>
      <c r="G39" s="523">
        <f t="shared" si="1"/>
        <v>4.4999999999999997E-3</v>
      </c>
      <c r="H39" s="508"/>
      <c r="I39" s="508"/>
      <c r="J39" s="508"/>
    </row>
    <row r="40" spans="1:13" ht="18" x14ac:dyDescent="0.35">
      <c r="A40" s="517" t="s">
        <v>393</v>
      </c>
      <c r="B40" s="522">
        <f t="shared" ref="B40:G40" si="2">B39*$A$24</f>
        <v>12.445</v>
      </c>
      <c r="C40" s="521">
        <f t="shared" si="2"/>
        <v>0.20050000000000001</v>
      </c>
      <c r="D40" s="522">
        <f t="shared" si="2"/>
        <v>0.42149999999999999</v>
      </c>
      <c r="E40" s="521">
        <f t="shared" si="2"/>
        <v>0.04</v>
      </c>
      <c r="F40" s="521">
        <f t="shared" si="2"/>
        <v>0.04</v>
      </c>
      <c r="G40" s="521">
        <f t="shared" si="2"/>
        <v>8.9999999999999993E-3</v>
      </c>
      <c r="H40" s="508"/>
      <c r="I40" s="508"/>
      <c r="J40" s="508"/>
    </row>
    <row r="41" spans="1:13" ht="18" x14ac:dyDescent="0.35">
      <c r="A41" s="508"/>
      <c r="B41" s="524"/>
      <c r="C41" s="524"/>
      <c r="D41" s="524"/>
      <c r="E41" s="524"/>
      <c r="F41" s="525"/>
      <c r="G41" s="524"/>
      <c r="H41" s="525"/>
      <c r="I41" s="508"/>
      <c r="J41" s="508"/>
    </row>
    <row r="42" spans="1:13" ht="18" x14ac:dyDescent="0.35">
      <c r="A42" s="526" t="s">
        <v>228</v>
      </c>
      <c r="B42" s="527"/>
      <c r="C42" s="527"/>
      <c r="D42" s="527"/>
      <c r="E42" s="527"/>
      <c r="F42" s="527"/>
      <c r="G42" s="527"/>
      <c r="H42" s="527"/>
      <c r="I42" s="527"/>
      <c r="J42" s="527"/>
      <c r="K42" s="134"/>
      <c r="L42" s="134"/>
      <c r="M42" s="134"/>
    </row>
    <row r="43" spans="1:13" ht="18" x14ac:dyDescent="0.35">
      <c r="A43" s="526" t="s">
        <v>106</v>
      </c>
      <c r="B43" s="527"/>
      <c r="C43" s="527"/>
      <c r="D43" s="527"/>
      <c r="E43" s="527"/>
      <c r="F43" s="527"/>
      <c r="G43" s="527"/>
      <c r="H43" s="527"/>
      <c r="I43" s="527"/>
      <c r="J43" s="527"/>
      <c r="K43" s="134"/>
      <c r="L43" s="134"/>
      <c r="M43" s="134"/>
    </row>
    <row r="44" spans="1:13" ht="18" x14ac:dyDescent="0.35">
      <c r="A44" s="527" t="s">
        <v>394</v>
      </c>
      <c r="B44" s="527"/>
      <c r="C44" s="527"/>
      <c r="D44" s="527"/>
      <c r="E44" s="527"/>
      <c r="F44" s="527"/>
      <c r="G44" s="527"/>
      <c r="H44" s="527"/>
      <c r="I44" s="527"/>
      <c r="J44" s="527"/>
      <c r="K44" s="134"/>
      <c r="L44" s="134"/>
      <c r="M44" s="134"/>
    </row>
    <row r="45" spans="1:13" ht="15" customHeight="1" x14ac:dyDescent="0.35">
      <c r="A45" s="528" t="s">
        <v>359</v>
      </c>
      <c r="B45" s="527"/>
      <c r="C45" s="527"/>
      <c r="D45" s="527"/>
      <c r="E45" s="527"/>
      <c r="F45" s="527"/>
      <c r="G45" s="527"/>
      <c r="H45" s="527"/>
      <c r="I45" s="527"/>
      <c r="J45" s="527"/>
      <c r="K45" s="134"/>
      <c r="L45" s="134"/>
      <c r="M45" s="134"/>
    </row>
    <row r="46" spans="1:13" ht="18" x14ac:dyDescent="0.35">
      <c r="A46" s="508"/>
      <c r="B46" s="508"/>
      <c r="C46" s="508"/>
      <c r="D46" s="508"/>
      <c r="E46" s="508"/>
      <c r="F46" s="508"/>
      <c r="G46" s="508"/>
      <c r="H46" s="508"/>
      <c r="I46" s="508"/>
      <c r="J46" s="508"/>
    </row>
    <row r="47" spans="1:13" ht="18" x14ac:dyDescent="0.35">
      <c r="A47" s="512" t="s">
        <v>395</v>
      </c>
      <c r="B47" s="508"/>
      <c r="C47" s="508"/>
      <c r="D47" s="508"/>
      <c r="E47" s="508"/>
      <c r="F47" s="508"/>
      <c r="G47" s="508"/>
      <c r="H47" s="508"/>
      <c r="I47" s="508"/>
      <c r="J47" s="508"/>
    </row>
    <row r="48" spans="1:13" ht="8.25" customHeight="1" x14ac:dyDescent="0.35">
      <c r="A48" s="508"/>
      <c r="B48" s="508"/>
      <c r="C48" s="508"/>
      <c r="D48" s="508"/>
      <c r="E48" s="508"/>
      <c r="F48" s="508"/>
      <c r="G48" s="508"/>
      <c r="H48" s="508"/>
      <c r="I48" s="508"/>
      <c r="J48" s="508"/>
    </row>
    <row r="49" spans="1:10" ht="21" x14ac:dyDescent="0.45">
      <c r="A49" s="508"/>
      <c r="B49" s="516" t="s">
        <v>396</v>
      </c>
      <c r="C49" s="516" t="s">
        <v>397</v>
      </c>
      <c r="D49" s="516" t="s">
        <v>398</v>
      </c>
      <c r="E49" s="516" t="s">
        <v>399</v>
      </c>
      <c r="F49" s="508"/>
      <c r="G49" s="508"/>
      <c r="H49" s="508"/>
      <c r="I49" s="508"/>
      <c r="J49" s="508"/>
    </row>
    <row r="50" spans="1:10" ht="18" x14ac:dyDescent="0.35">
      <c r="A50" s="517" t="s">
        <v>400</v>
      </c>
      <c r="B50" s="529">
        <v>1917</v>
      </c>
      <c r="C50" s="523">
        <f>$A$32*$A$14*A17*$A$10</f>
        <v>7.9200285658559993E-2</v>
      </c>
      <c r="D50" s="523">
        <f>$A$32*$A$14*A18*$A$10</f>
        <v>1.5840057131712E-2</v>
      </c>
      <c r="E50" s="529">
        <f>B50+(C50*$A$20)+(D50*$A$21)</f>
        <v>1923.7003441667143</v>
      </c>
      <c r="F50" s="508"/>
      <c r="G50" s="530"/>
      <c r="H50" s="508"/>
      <c r="I50" s="508"/>
      <c r="J50" s="508"/>
    </row>
    <row r="51" spans="1:10" ht="18" x14ac:dyDescent="0.35">
      <c r="A51" s="517" t="s">
        <v>391</v>
      </c>
      <c r="B51" s="529">
        <f>B50*$A$24</f>
        <v>3834</v>
      </c>
      <c r="C51" s="521">
        <f t="shared" ref="C51:E51" si="3">C50*$A$24</f>
        <v>0.15840057131711999</v>
      </c>
      <c r="D51" s="523">
        <f t="shared" si="3"/>
        <v>3.1680114263424E-2</v>
      </c>
      <c r="E51" s="529">
        <f t="shared" si="3"/>
        <v>3847.4006883334287</v>
      </c>
      <c r="F51" s="508"/>
      <c r="G51" s="530"/>
      <c r="H51" s="508"/>
      <c r="I51" s="508"/>
      <c r="J51" s="508"/>
    </row>
    <row r="52" spans="1:10" ht="18" x14ac:dyDescent="0.35">
      <c r="A52" s="517" t="s">
        <v>393</v>
      </c>
      <c r="B52" s="520">
        <f>B50*$A$28/$A$11*A24</f>
        <v>958.5</v>
      </c>
      <c r="C52" s="523">
        <f>C50*$A$28/$A$11*2</f>
        <v>3.9600142829279997E-2</v>
      </c>
      <c r="D52" s="523">
        <f>D50*$A$28/$A$11*2</f>
        <v>7.920028565856E-3</v>
      </c>
      <c r="E52" s="529">
        <f>B52+(C52*$A$20)+(D52*$A$21)</f>
        <v>961.85017208335717</v>
      </c>
      <c r="F52" s="508"/>
      <c r="G52" s="508"/>
      <c r="H52" s="508"/>
      <c r="I52" s="508"/>
      <c r="J52" s="508"/>
    </row>
    <row r="53" spans="1:10" ht="18" x14ac:dyDescent="0.35">
      <c r="A53" s="524"/>
      <c r="B53" s="524"/>
      <c r="C53" s="524"/>
      <c r="D53" s="524"/>
      <c r="E53" s="508"/>
      <c r="F53" s="508"/>
      <c r="G53" s="508"/>
      <c r="H53" s="508"/>
      <c r="I53" s="508"/>
      <c r="J53" s="508"/>
    </row>
    <row r="54" spans="1:10" ht="18" x14ac:dyDescent="0.35">
      <c r="A54" s="512" t="s">
        <v>401</v>
      </c>
      <c r="B54" s="508"/>
      <c r="C54" s="508"/>
      <c r="D54" s="508"/>
      <c r="E54" s="508"/>
      <c r="F54" s="508"/>
      <c r="G54" s="508"/>
      <c r="H54" s="508"/>
      <c r="I54" s="508"/>
      <c r="J54" s="508"/>
    </row>
    <row r="55" spans="1:10" ht="17.25" customHeight="1" x14ac:dyDescent="0.35">
      <c r="A55" s="531" t="s">
        <v>402</v>
      </c>
      <c r="B55" s="531"/>
      <c r="C55" s="531"/>
      <c r="D55" s="531"/>
      <c r="E55" s="531"/>
      <c r="F55" s="531"/>
      <c r="G55" s="531"/>
      <c r="H55" s="531"/>
      <c r="I55" s="531"/>
      <c r="J55" s="508"/>
    </row>
    <row r="56" spans="1:10" ht="21.75" customHeight="1" x14ac:dyDescent="0.35">
      <c r="A56" s="531" t="s">
        <v>403</v>
      </c>
      <c r="B56" s="531"/>
      <c r="C56" s="531"/>
      <c r="D56" s="531"/>
      <c r="E56" s="531"/>
      <c r="F56" s="531"/>
      <c r="G56" s="531"/>
      <c r="H56" s="531"/>
      <c r="I56" s="531"/>
      <c r="J56" s="508"/>
    </row>
    <row r="57" spans="1:10" ht="18" x14ac:dyDescent="0.35">
      <c r="A57" s="508"/>
      <c r="B57" s="508"/>
      <c r="C57" s="508"/>
      <c r="D57" s="508"/>
      <c r="E57" s="508"/>
      <c r="F57" s="508"/>
      <c r="G57" s="508"/>
      <c r="H57" s="508"/>
      <c r="I57" s="508"/>
      <c r="J57" s="508"/>
    </row>
    <row r="58" spans="1:10" ht="18" x14ac:dyDescent="0.35">
      <c r="A58" s="508"/>
      <c r="B58" s="508"/>
      <c r="C58" s="508"/>
      <c r="D58" s="508"/>
      <c r="E58" s="508"/>
      <c r="F58" s="508"/>
      <c r="G58" s="508"/>
      <c r="H58" s="508"/>
      <c r="I58" s="508"/>
      <c r="J58" s="508"/>
    </row>
    <row r="59" spans="1:10" ht="18" x14ac:dyDescent="0.35">
      <c r="A59" s="508"/>
      <c r="B59" s="508"/>
      <c r="C59" s="508"/>
      <c r="D59" s="508"/>
      <c r="E59" s="508"/>
      <c r="F59" s="508"/>
      <c r="G59" s="508"/>
      <c r="H59" s="508"/>
      <c r="I59" s="508"/>
      <c r="J59" s="508"/>
    </row>
    <row r="60" spans="1:10" ht="18" x14ac:dyDescent="0.35">
      <c r="A60" s="508"/>
      <c r="B60" s="508"/>
      <c r="C60" s="508"/>
      <c r="D60" s="508"/>
      <c r="E60" s="508"/>
      <c r="F60" s="508"/>
      <c r="G60" s="508"/>
      <c r="H60" s="508"/>
      <c r="I60" s="508"/>
      <c r="J60" s="508"/>
    </row>
    <row r="61" spans="1:10" ht="18" x14ac:dyDescent="0.35">
      <c r="A61" s="508"/>
      <c r="B61" s="508"/>
      <c r="C61" s="508"/>
      <c r="D61" s="508"/>
      <c r="E61" s="508"/>
      <c r="F61" s="508"/>
      <c r="G61" s="508"/>
      <c r="H61" s="508"/>
      <c r="I61" s="508"/>
      <c r="J61" s="508"/>
    </row>
    <row r="62" spans="1:10" ht="18" x14ac:dyDescent="0.35">
      <c r="A62" s="508"/>
      <c r="B62" s="508"/>
      <c r="C62" s="508"/>
      <c r="D62" s="508"/>
      <c r="E62" s="508"/>
      <c r="F62" s="508"/>
      <c r="G62" s="508"/>
      <c r="H62" s="508"/>
      <c r="I62" s="508"/>
      <c r="J62" s="508"/>
    </row>
    <row r="63" spans="1:10" ht="18" x14ac:dyDescent="0.35">
      <c r="A63" s="508"/>
      <c r="B63" s="508"/>
      <c r="C63" s="508"/>
      <c r="D63" s="508"/>
      <c r="E63" s="508"/>
      <c r="F63" s="508"/>
      <c r="G63" s="508"/>
      <c r="H63" s="508"/>
      <c r="I63" s="508"/>
      <c r="J63" s="508"/>
    </row>
    <row r="64" spans="1:10" ht="18" x14ac:dyDescent="0.35">
      <c r="A64" s="508"/>
      <c r="B64" s="508"/>
      <c r="C64" s="508"/>
      <c r="D64" s="508"/>
      <c r="E64" s="508"/>
      <c r="F64" s="508"/>
      <c r="G64" s="508"/>
      <c r="H64" s="508"/>
      <c r="I64" s="508"/>
      <c r="J64" s="508"/>
    </row>
    <row r="65" spans="1:10" ht="18" x14ac:dyDescent="0.35">
      <c r="A65" s="508"/>
      <c r="B65" s="508"/>
      <c r="C65" s="508"/>
      <c r="D65" s="508"/>
      <c r="E65" s="508"/>
      <c r="F65" s="508"/>
      <c r="G65" s="508"/>
      <c r="H65" s="508"/>
      <c r="I65" s="508"/>
      <c r="J65" s="508"/>
    </row>
  </sheetData>
  <pageMargins left="0.7" right="0.7" top="0.5" bottom="0.75" header="0.05" footer="0.3"/>
  <pageSetup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3458F-696B-4024-902B-43066CA914B4}">
  <dimension ref="A1:M43"/>
  <sheetViews>
    <sheetView view="pageBreakPreview" zoomScale="60" zoomScaleNormal="100" workbookViewId="0">
      <selection activeCell="R12" sqref="R12"/>
    </sheetView>
  </sheetViews>
  <sheetFormatPr defaultColWidth="7.08984375" defaultRowHeight="14.4" x14ac:dyDescent="0.3"/>
  <cols>
    <col min="1" max="1" width="6.90625" style="135" customWidth="1"/>
    <col min="2" max="2" width="7.08984375" style="135"/>
    <col min="3" max="3" width="8" style="135" customWidth="1"/>
    <col min="4" max="4" width="8.08984375" style="135" customWidth="1"/>
    <col min="5" max="8" width="8" style="135" customWidth="1"/>
    <col min="9" max="9" width="19.90625" style="135" customWidth="1"/>
    <col min="10" max="10" width="7.81640625" style="135" customWidth="1"/>
    <col min="11" max="11" width="7.36328125" style="135" customWidth="1"/>
    <col min="12" max="12" width="7.90625" style="135" customWidth="1"/>
    <col min="13" max="16384" width="7.08984375" style="135"/>
  </cols>
  <sheetData>
    <row r="1" spans="1:13" ht="18" x14ac:dyDescent="0.35">
      <c r="A1" s="532" t="s">
        <v>228</v>
      </c>
      <c r="B1" s="533"/>
      <c r="C1" s="533"/>
      <c r="D1" s="533"/>
      <c r="E1" s="533"/>
      <c r="F1" s="533"/>
      <c r="G1" s="533"/>
      <c r="H1" s="533"/>
      <c r="I1" s="533"/>
      <c r="J1" s="533"/>
    </row>
    <row r="2" spans="1:13" ht="18" x14ac:dyDescent="0.35">
      <c r="A2" s="532" t="s">
        <v>404</v>
      </c>
      <c r="B2" s="533"/>
      <c r="C2" s="533"/>
      <c r="D2" s="533"/>
      <c r="E2" s="533"/>
      <c r="F2" s="533"/>
      <c r="G2" s="533"/>
      <c r="H2" s="533"/>
      <c r="I2" s="533"/>
      <c r="J2" s="533"/>
    </row>
    <row r="3" spans="1:13" x14ac:dyDescent="0.3">
      <c r="A3" s="533" t="s">
        <v>405</v>
      </c>
      <c r="B3" s="533"/>
      <c r="C3" s="533"/>
      <c r="D3" s="533"/>
      <c r="E3" s="533"/>
      <c r="F3" s="533"/>
      <c r="G3" s="533"/>
      <c r="H3" s="533"/>
      <c r="I3" s="533"/>
      <c r="J3" s="533"/>
    </row>
    <row r="4" spans="1:13" ht="15" customHeight="1" x14ac:dyDescent="0.3">
      <c r="A4" s="534" t="s">
        <v>359</v>
      </c>
      <c r="B4" s="533"/>
      <c r="C4" s="533"/>
      <c r="D4" s="533"/>
      <c r="E4" s="533"/>
      <c r="F4" s="533"/>
      <c r="G4" s="533"/>
      <c r="H4" s="533"/>
      <c r="I4" s="533"/>
      <c r="J4" s="533"/>
    </row>
    <row r="5" spans="1:13" x14ac:dyDescent="0.3">
      <c r="A5" s="533"/>
      <c r="B5" s="533"/>
      <c r="C5" s="533"/>
      <c r="D5" s="533"/>
      <c r="E5" s="533"/>
      <c r="F5" s="533"/>
      <c r="G5" s="533"/>
      <c r="H5" s="533"/>
      <c r="I5" s="533"/>
      <c r="J5" s="533"/>
    </row>
    <row r="6" spans="1:13" x14ac:dyDescent="0.3">
      <c r="A6" s="535" t="s">
        <v>376</v>
      </c>
      <c r="B6" s="533"/>
      <c r="C6" s="533"/>
      <c r="D6" s="533"/>
      <c r="E6" s="533"/>
      <c r="F6" s="533"/>
      <c r="G6" s="533"/>
      <c r="H6" s="533"/>
      <c r="I6" s="533"/>
      <c r="J6" s="533"/>
    </row>
    <row r="7" spans="1:13" x14ac:dyDescent="0.3">
      <c r="A7" s="536">
        <v>2</v>
      </c>
      <c r="B7" s="537" t="s">
        <v>377</v>
      </c>
      <c r="C7" s="533"/>
      <c r="D7" s="533"/>
      <c r="E7" s="533"/>
      <c r="F7" s="533"/>
      <c r="G7" s="533"/>
      <c r="H7" s="533"/>
      <c r="I7" s="533"/>
      <c r="J7" s="533"/>
      <c r="M7" s="138"/>
    </row>
    <row r="8" spans="1:13" ht="15" customHeight="1" x14ac:dyDescent="0.3">
      <c r="A8" s="538">
        <v>87.4</v>
      </c>
      <c r="B8" s="539" t="s">
        <v>406</v>
      </c>
      <c r="C8" s="539"/>
      <c r="D8" s="539"/>
      <c r="E8" s="539"/>
      <c r="F8" s="539"/>
      <c r="G8" s="539"/>
      <c r="H8" s="539"/>
      <c r="I8" s="539"/>
      <c r="J8" s="539"/>
    </row>
    <row r="9" spans="1:13" x14ac:dyDescent="0.3">
      <c r="A9" s="540">
        <v>0.13700000000000001</v>
      </c>
      <c r="B9" s="537" t="s">
        <v>368</v>
      </c>
      <c r="C9" s="533"/>
      <c r="D9" s="533"/>
      <c r="E9" s="533"/>
      <c r="F9" s="533"/>
      <c r="G9" s="533"/>
      <c r="H9" s="533"/>
      <c r="I9" s="533"/>
      <c r="J9" s="533"/>
    </row>
    <row r="10" spans="1:13" x14ac:dyDescent="0.3">
      <c r="A10" s="541">
        <f>A8*A9</f>
        <v>11.973800000000002</v>
      </c>
      <c r="B10" s="537" t="s">
        <v>407</v>
      </c>
      <c r="C10" s="533"/>
      <c r="D10" s="533"/>
      <c r="E10" s="533"/>
      <c r="F10" s="533"/>
      <c r="G10" s="533"/>
      <c r="H10" s="533"/>
      <c r="I10" s="533"/>
      <c r="J10" s="533"/>
    </row>
    <row r="11" spans="1:13" ht="16.2" x14ac:dyDescent="0.3">
      <c r="A11" s="533">
        <v>500</v>
      </c>
      <c r="B11" s="537" t="s">
        <v>408</v>
      </c>
      <c r="C11" s="533"/>
      <c r="D11" s="533"/>
      <c r="E11" s="533"/>
      <c r="F11" s="533"/>
      <c r="G11" s="533"/>
      <c r="H11" s="533"/>
      <c r="I11" s="533"/>
      <c r="J11" s="533"/>
    </row>
    <row r="12" spans="1:13" x14ac:dyDescent="0.3">
      <c r="A12" s="533">
        <v>100</v>
      </c>
      <c r="B12" s="537" t="s">
        <v>409</v>
      </c>
      <c r="C12" s="533"/>
      <c r="D12" s="533"/>
      <c r="E12" s="533"/>
      <c r="F12" s="533"/>
      <c r="G12" s="533"/>
      <c r="H12" s="533"/>
      <c r="I12" s="533"/>
      <c r="J12" s="533"/>
    </row>
    <row r="13" spans="1:13" x14ac:dyDescent="0.3">
      <c r="A13" s="533"/>
      <c r="B13" s="533"/>
      <c r="C13" s="533"/>
      <c r="D13" s="533"/>
      <c r="E13" s="533"/>
      <c r="F13" s="533"/>
      <c r="G13" s="533"/>
      <c r="H13" s="533"/>
      <c r="I13" s="533"/>
      <c r="J13" s="533"/>
    </row>
    <row r="14" spans="1:13" ht="16.2" x14ac:dyDescent="0.3">
      <c r="A14" s="535" t="s">
        <v>410</v>
      </c>
      <c r="B14" s="533"/>
      <c r="C14" s="533"/>
      <c r="D14" s="533"/>
      <c r="E14" s="533"/>
      <c r="F14" s="533"/>
      <c r="G14" s="533"/>
      <c r="H14" s="533"/>
      <c r="I14" s="533"/>
      <c r="J14" s="533"/>
    </row>
    <row r="15" spans="1:13" ht="9" customHeight="1" x14ac:dyDescent="0.3">
      <c r="A15" s="542"/>
      <c r="B15" s="533"/>
      <c r="C15" s="533"/>
      <c r="D15" s="533"/>
      <c r="E15" s="533"/>
      <c r="F15" s="533"/>
      <c r="G15" s="533"/>
      <c r="H15" s="533"/>
      <c r="I15" s="533"/>
      <c r="J15" s="533"/>
    </row>
    <row r="16" spans="1:13" x14ac:dyDescent="0.3">
      <c r="A16" s="650" t="s">
        <v>411</v>
      </c>
      <c r="B16" s="650"/>
      <c r="C16" s="650" t="s">
        <v>57</v>
      </c>
      <c r="D16" s="650" t="s">
        <v>412</v>
      </c>
      <c r="E16" s="650" t="s">
        <v>413</v>
      </c>
      <c r="F16" s="650"/>
      <c r="G16" s="650" t="s">
        <v>414</v>
      </c>
      <c r="H16" s="650"/>
      <c r="I16" s="533"/>
      <c r="J16" s="533"/>
    </row>
    <row r="17" spans="1:12" x14ac:dyDescent="0.3">
      <c r="A17" s="650"/>
      <c r="B17" s="650"/>
      <c r="C17" s="650"/>
      <c r="D17" s="650"/>
      <c r="E17" s="574" t="s">
        <v>415</v>
      </c>
      <c r="F17" s="574" t="s">
        <v>416</v>
      </c>
      <c r="G17" s="574" t="s">
        <v>415</v>
      </c>
      <c r="H17" s="574" t="s">
        <v>416</v>
      </c>
      <c r="I17" s="533"/>
      <c r="J17" s="533"/>
    </row>
    <row r="18" spans="1:12" x14ac:dyDescent="0.3">
      <c r="A18" s="643" t="s">
        <v>190</v>
      </c>
      <c r="B18" s="644"/>
      <c r="C18" s="543">
        <v>7.76E-4</v>
      </c>
      <c r="D18" s="544">
        <f t="shared" ref="D18:D25" si="0">C18*$A$10</f>
        <v>9.2916688000000015E-3</v>
      </c>
      <c r="E18" s="545">
        <f t="shared" ref="E18:E25" si="1">C18*$A$10*$A$11*$A$7</f>
        <v>9.2916688000000018</v>
      </c>
      <c r="F18" s="545">
        <f t="shared" ref="F18:F25" si="2">C18*$A$10*$A$12*$A$7</f>
        <v>1.8583337600000003</v>
      </c>
      <c r="G18" s="544">
        <f t="shared" ref="G18:G25" si="3">D18*$A$11/2000*$A$7</f>
        <v>4.6458344000000007E-3</v>
      </c>
      <c r="H18" s="544">
        <f t="shared" ref="H18:H25" si="4">D18*$A$12/2000*$A$7</f>
        <v>9.291668800000001E-4</v>
      </c>
      <c r="I18" s="533"/>
      <c r="J18" s="533"/>
    </row>
    <row r="19" spans="1:12" x14ac:dyDescent="0.3">
      <c r="A19" s="643" t="s">
        <v>195</v>
      </c>
      <c r="B19" s="644"/>
      <c r="C19" s="543">
        <v>2.81E-4</v>
      </c>
      <c r="D19" s="544">
        <f t="shared" si="0"/>
        <v>3.3646378000000009E-3</v>
      </c>
      <c r="E19" s="545">
        <f t="shared" si="1"/>
        <v>3.364637800000001</v>
      </c>
      <c r="F19" s="546">
        <f t="shared" si="2"/>
        <v>0.6729275600000002</v>
      </c>
      <c r="G19" s="544">
        <f t="shared" si="3"/>
        <v>1.6823189000000004E-3</v>
      </c>
      <c r="H19" s="544">
        <f t="shared" si="4"/>
        <v>3.3646378000000009E-4</v>
      </c>
      <c r="I19" s="533"/>
      <c r="J19" s="533"/>
    </row>
    <row r="20" spans="1:12" x14ac:dyDescent="0.3">
      <c r="A20" s="643" t="s">
        <v>196</v>
      </c>
      <c r="B20" s="644"/>
      <c r="C20" s="543">
        <v>1.93E-4</v>
      </c>
      <c r="D20" s="544">
        <f t="shared" si="0"/>
        <v>2.3109434000000003E-3</v>
      </c>
      <c r="E20" s="545">
        <f t="shared" si="1"/>
        <v>2.3109434000000002</v>
      </c>
      <c r="F20" s="546">
        <f t="shared" si="2"/>
        <v>0.46218868000000007</v>
      </c>
      <c r="G20" s="544">
        <f t="shared" si="3"/>
        <v>1.1554717000000002E-3</v>
      </c>
      <c r="H20" s="544">
        <f t="shared" si="4"/>
        <v>2.3109434000000004E-4</v>
      </c>
      <c r="I20" s="533"/>
      <c r="J20" s="533"/>
    </row>
    <row r="21" spans="1:12" x14ac:dyDescent="0.3">
      <c r="A21" s="643" t="s">
        <v>417</v>
      </c>
      <c r="B21" s="644"/>
      <c r="C21" s="543">
        <v>2.12E-4</v>
      </c>
      <c r="D21" s="544">
        <f t="shared" si="0"/>
        <v>2.5384456000000005E-3</v>
      </c>
      <c r="E21" s="545">
        <f t="shared" si="1"/>
        <v>2.5384456000000006</v>
      </c>
      <c r="F21" s="546">
        <f t="shared" si="2"/>
        <v>0.5076891200000001</v>
      </c>
      <c r="G21" s="544">
        <f t="shared" si="3"/>
        <v>1.2692228000000002E-3</v>
      </c>
      <c r="H21" s="544">
        <f t="shared" si="4"/>
        <v>2.5384456000000007E-4</v>
      </c>
      <c r="I21" s="533"/>
      <c r="J21" s="533"/>
    </row>
    <row r="22" spans="1:12" ht="16.2" x14ac:dyDescent="0.3">
      <c r="A22" s="649" t="s">
        <v>418</v>
      </c>
      <c r="B22" s="649"/>
      <c r="C22" s="543">
        <v>2.7899999999999999E-3</v>
      </c>
      <c r="D22" s="544">
        <f t="shared" si="0"/>
        <v>3.3406902000000009E-2</v>
      </c>
      <c r="E22" s="547">
        <f t="shared" si="1"/>
        <v>33.406902000000009</v>
      </c>
      <c r="F22" s="545">
        <f t="shared" si="2"/>
        <v>6.6813804000000019</v>
      </c>
      <c r="G22" s="544">
        <f t="shared" si="3"/>
        <v>1.6703451000000005E-2</v>
      </c>
      <c r="H22" s="544">
        <f t="shared" si="4"/>
        <v>3.3406902000000008E-3</v>
      </c>
      <c r="I22" s="533"/>
      <c r="J22" s="533"/>
    </row>
    <row r="23" spans="1:12" x14ac:dyDescent="0.3">
      <c r="A23" s="643" t="s">
        <v>118</v>
      </c>
      <c r="B23" s="644"/>
      <c r="C23" s="543">
        <v>7.8899999999999993E-5</v>
      </c>
      <c r="D23" s="544">
        <f t="shared" si="0"/>
        <v>9.4473282000000008E-4</v>
      </c>
      <c r="E23" s="546">
        <f t="shared" si="1"/>
        <v>0.94473282000000003</v>
      </c>
      <c r="F23" s="546">
        <f t="shared" si="2"/>
        <v>0.18894656400000001</v>
      </c>
      <c r="G23" s="544">
        <f t="shared" si="3"/>
        <v>4.7236641000000004E-4</v>
      </c>
      <c r="H23" s="544">
        <f t="shared" si="4"/>
        <v>9.4473282E-5</v>
      </c>
      <c r="I23" s="533"/>
      <c r="J23" s="533"/>
    </row>
    <row r="24" spans="1:12" x14ac:dyDescent="0.3">
      <c r="A24" s="643" t="s">
        <v>188</v>
      </c>
      <c r="B24" s="644"/>
      <c r="C24" s="543">
        <v>2.5199999999999999E-5</v>
      </c>
      <c r="D24" s="544">
        <f t="shared" si="0"/>
        <v>3.0173976000000003E-4</v>
      </c>
      <c r="E24" s="546">
        <f t="shared" si="1"/>
        <v>0.30173976000000002</v>
      </c>
      <c r="F24" s="544">
        <f t="shared" si="2"/>
        <v>6.0347952000000003E-2</v>
      </c>
      <c r="G24" s="544">
        <f t="shared" si="3"/>
        <v>1.5086988000000002E-4</v>
      </c>
      <c r="H24" s="544">
        <f t="shared" si="4"/>
        <v>3.0173976E-5</v>
      </c>
      <c r="I24" s="533"/>
      <c r="J24" s="533"/>
    </row>
    <row r="25" spans="1:12" ht="15" thickBot="1" x14ac:dyDescent="0.35">
      <c r="A25" s="645" t="s">
        <v>189</v>
      </c>
      <c r="B25" s="646"/>
      <c r="C25" s="548">
        <v>7.8800000000000008E-6</v>
      </c>
      <c r="D25" s="549">
        <f t="shared" si="0"/>
        <v>9.4353544000000031E-5</v>
      </c>
      <c r="E25" s="549">
        <f t="shared" si="1"/>
        <v>9.4353544000000025E-2</v>
      </c>
      <c r="F25" s="549">
        <f t="shared" si="2"/>
        <v>1.8870708800000007E-2</v>
      </c>
      <c r="G25" s="549">
        <f t="shared" si="3"/>
        <v>4.7176772000000016E-5</v>
      </c>
      <c r="H25" s="549">
        <f t="shared" si="4"/>
        <v>9.4353544000000035E-6</v>
      </c>
      <c r="I25" s="533"/>
      <c r="J25" s="533"/>
    </row>
    <row r="26" spans="1:12" ht="15" thickTop="1" x14ac:dyDescent="0.3">
      <c r="A26" s="647" t="s">
        <v>419</v>
      </c>
      <c r="B26" s="648"/>
      <c r="C26" s="550">
        <f>SUM(C18:C25)</f>
        <v>4.3639799999999999E-3</v>
      </c>
      <c r="D26" s="551">
        <f>C26*$A$10</f>
        <v>5.2253423724000013E-2</v>
      </c>
      <c r="E26" s="552">
        <f>D26*$A$11*$A$7</f>
        <v>52.253423724000015</v>
      </c>
      <c r="F26" s="552">
        <f>D26*$A$12*$A$7</f>
        <v>10.450684744800002</v>
      </c>
      <c r="G26" s="551">
        <f>E26/2000</f>
        <v>2.6126711862000006E-2</v>
      </c>
      <c r="H26" s="551">
        <f>F26/2000</f>
        <v>5.2253423724000006E-3</v>
      </c>
      <c r="I26" s="533"/>
      <c r="J26" s="533"/>
    </row>
    <row r="27" spans="1:12" x14ac:dyDescent="0.3">
      <c r="A27" s="553" t="s">
        <v>222</v>
      </c>
      <c r="B27" s="553"/>
      <c r="C27" s="550">
        <f>SUM(C18:C25)-C22</f>
        <v>1.57398E-3</v>
      </c>
      <c r="D27" s="551">
        <f>C27*$A$10</f>
        <v>1.8846521724000004E-2</v>
      </c>
      <c r="E27" s="552">
        <f>D27*$A$11*$A$7</f>
        <v>18.846521724000002</v>
      </c>
      <c r="F27" s="554">
        <f>D27*$A$12*$A$7</f>
        <v>3.769304344800001</v>
      </c>
      <c r="G27" s="544">
        <f>E27/2000</f>
        <v>9.4232608620000019E-3</v>
      </c>
      <c r="H27" s="544">
        <f>F27/2000</f>
        <v>1.8846521724000004E-3</v>
      </c>
      <c r="I27" s="533"/>
      <c r="J27" s="533"/>
    </row>
    <row r="28" spans="1:12" x14ac:dyDescent="0.3">
      <c r="A28" s="555"/>
      <c r="B28" s="555"/>
      <c r="C28" s="555"/>
      <c r="D28" s="556"/>
      <c r="E28" s="557"/>
      <c r="F28" s="557"/>
      <c r="G28" s="557"/>
      <c r="H28" s="558"/>
      <c r="I28" s="558"/>
      <c r="J28" s="557"/>
    </row>
    <row r="29" spans="1:12" x14ac:dyDescent="0.3">
      <c r="A29" s="559" t="s">
        <v>420</v>
      </c>
      <c r="B29" s="533"/>
      <c r="C29" s="533"/>
      <c r="D29" s="533"/>
      <c r="E29" s="533"/>
      <c r="F29" s="533"/>
      <c r="G29" s="533"/>
      <c r="H29" s="533"/>
      <c r="I29" s="533"/>
      <c r="J29" s="533"/>
    </row>
    <row r="30" spans="1:12" ht="55.5" customHeight="1" x14ac:dyDescent="0.3">
      <c r="A30" s="560" t="s">
        <v>421</v>
      </c>
      <c r="B30" s="560"/>
      <c r="C30" s="560"/>
      <c r="D30" s="560"/>
      <c r="E30" s="560"/>
      <c r="F30" s="560"/>
      <c r="G30" s="560"/>
      <c r="H30" s="560"/>
      <c r="I30" s="560"/>
      <c r="J30" s="560"/>
      <c r="K30" s="140"/>
      <c r="L30" s="140"/>
    </row>
    <row r="31" spans="1:12" ht="54.75" customHeight="1" x14ac:dyDescent="0.3">
      <c r="A31" s="560" t="s">
        <v>422</v>
      </c>
      <c r="B31" s="560"/>
      <c r="C31" s="560"/>
      <c r="D31" s="560"/>
      <c r="E31" s="560"/>
      <c r="F31" s="560"/>
      <c r="G31" s="560"/>
      <c r="H31" s="560"/>
      <c r="I31" s="560"/>
      <c r="J31" s="560"/>
      <c r="K31" s="140"/>
      <c r="L31" s="140"/>
    </row>
    <row r="32" spans="1:12" s="141" customFormat="1" ht="60" customHeight="1" x14ac:dyDescent="0.3">
      <c r="A32" s="560" t="s">
        <v>423</v>
      </c>
      <c r="B32" s="560"/>
      <c r="C32" s="560"/>
      <c r="D32" s="560"/>
      <c r="E32" s="560"/>
      <c r="F32" s="560"/>
      <c r="G32" s="560"/>
      <c r="H32" s="560"/>
      <c r="I32" s="560"/>
      <c r="J32" s="560"/>
      <c r="K32" s="140"/>
      <c r="L32" s="140"/>
    </row>
    <row r="33" spans="1:10" x14ac:dyDescent="0.3">
      <c r="A33" s="533"/>
      <c r="B33" s="533"/>
      <c r="C33" s="533"/>
      <c r="D33" s="533"/>
      <c r="E33" s="533"/>
      <c r="F33" s="533"/>
      <c r="G33" s="533"/>
      <c r="H33" s="533"/>
      <c r="I33" s="533"/>
      <c r="J33" s="533"/>
    </row>
    <row r="34" spans="1:10" x14ac:dyDescent="0.3">
      <c r="A34" s="533"/>
      <c r="B34" s="533"/>
      <c r="C34" s="533"/>
      <c r="D34" s="533"/>
      <c r="E34" s="533"/>
      <c r="F34" s="533"/>
      <c r="G34" s="533"/>
      <c r="H34" s="533"/>
      <c r="I34" s="533"/>
      <c r="J34" s="533"/>
    </row>
    <row r="35" spans="1:10" x14ac:dyDescent="0.3">
      <c r="A35" s="533"/>
      <c r="B35" s="533"/>
      <c r="C35" s="533"/>
      <c r="D35" s="533"/>
      <c r="E35" s="533"/>
      <c r="F35" s="533"/>
      <c r="G35" s="533"/>
      <c r="H35" s="533"/>
      <c r="I35" s="533"/>
      <c r="J35" s="533"/>
    </row>
    <row r="36" spans="1:10" x14ac:dyDescent="0.3">
      <c r="A36" s="533"/>
      <c r="B36" s="533"/>
      <c r="C36" s="533"/>
      <c r="D36" s="533"/>
      <c r="E36" s="533"/>
      <c r="F36" s="533"/>
      <c r="G36" s="533"/>
      <c r="H36" s="533"/>
      <c r="I36" s="533"/>
      <c r="J36" s="533"/>
    </row>
    <row r="37" spans="1:10" x14ac:dyDescent="0.3">
      <c r="A37" s="533"/>
      <c r="B37" s="533"/>
      <c r="C37" s="533"/>
      <c r="D37" s="533"/>
      <c r="E37" s="533"/>
      <c r="F37" s="533"/>
      <c r="G37" s="533"/>
      <c r="H37" s="533"/>
      <c r="I37" s="533"/>
      <c r="J37" s="533"/>
    </row>
    <row r="38" spans="1:10" x14ac:dyDescent="0.3">
      <c r="A38" s="533"/>
      <c r="B38" s="533"/>
      <c r="C38" s="533"/>
      <c r="D38" s="533"/>
      <c r="E38" s="533"/>
      <c r="F38" s="533"/>
      <c r="G38" s="533"/>
      <c r="H38" s="533"/>
      <c r="I38" s="533"/>
      <c r="J38" s="533"/>
    </row>
    <row r="39" spans="1:10" x14ac:dyDescent="0.3">
      <c r="A39" s="533"/>
      <c r="B39" s="533"/>
      <c r="C39" s="533"/>
      <c r="D39" s="533"/>
      <c r="E39" s="533"/>
      <c r="F39" s="533"/>
      <c r="G39" s="533"/>
      <c r="H39" s="533"/>
      <c r="I39" s="533"/>
      <c r="J39" s="533"/>
    </row>
    <row r="40" spans="1:10" x14ac:dyDescent="0.3">
      <c r="A40" s="533"/>
      <c r="B40" s="533"/>
      <c r="C40" s="533"/>
      <c r="D40" s="533"/>
      <c r="E40" s="533"/>
      <c r="F40" s="533"/>
      <c r="G40" s="533"/>
      <c r="H40" s="533"/>
      <c r="I40" s="533"/>
      <c r="J40" s="533"/>
    </row>
    <row r="41" spans="1:10" x14ac:dyDescent="0.3">
      <c r="A41" s="533"/>
      <c r="B41" s="533"/>
      <c r="C41" s="533"/>
      <c r="D41" s="533"/>
      <c r="E41" s="533"/>
      <c r="F41" s="533"/>
      <c r="G41" s="533"/>
      <c r="H41" s="533"/>
      <c r="I41" s="533"/>
      <c r="J41" s="533"/>
    </row>
    <row r="42" spans="1:10" x14ac:dyDescent="0.3">
      <c r="A42" s="533"/>
      <c r="B42" s="533"/>
      <c r="C42" s="533"/>
      <c r="D42" s="533"/>
      <c r="E42" s="533"/>
      <c r="F42" s="533"/>
      <c r="G42" s="533"/>
      <c r="H42" s="533"/>
      <c r="I42" s="533"/>
      <c r="J42" s="533"/>
    </row>
    <row r="43" spans="1:10" x14ac:dyDescent="0.3">
      <c r="A43" s="533"/>
      <c r="B43" s="533"/>
      <c r="C43" s="533"/>
      <c r="D43" s="533"/>
      <c r="E43" s="533"/>
      <c r="F43" s="533"/>
      <c r="G43" s="533"/>
      <c r="H43" s="533"/>
      <c r="I43" s="533"/>
      <c r="J43" s="533"/>
    </row>
  </sheetData>
  <mergeCells count="14">
    <mergeCell ref="A16:B17"/>
    <mergeCell ref="C16:C17"/>
    <mergeCell ref="D16:D17"/>
    <mergeCell ref="E16:F16"/>
    <mergeCell ref="G16:H16"/>
    <mergeCell ref="A23:B23"/>
    <mergeCell ref="A24:B24"/>
    <mergeCell ref="A25:B25"/>
    <mergeCell ref="A26:B26"/>
    <mergeCell ref="A18:B18"/>
    <mergeCell ref="A19:B19"/>
    <mergeCell ref="A20:B20"/>
    <mergeCell ref="A21:B21"/>
    <mergeCell ref="A22:B22"/>
  </mergeCells>
  <pageMargins left="0.7" right="0.7" top="0.5" bottom="0.75" header="0.05" footer="0.3"/>
  <pageSetup orientation="portrait" r:id="rId1"/>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dimension ref="A1:L37"/>
  <sheetViews>
    <sheetView showGridLines="0" view="pageBreakPreview" zoomScale="60" zoomScaleNormal="100" workbookViewId="0">
      <selection activeCell="N12" sqref="N12"/>
    </sheetView>
  </sheetViews>
  <sheetFormatPr defaultColWidth="8.81640625" defaultRowHeight="15.6" x14ac:dyDescent="0.3"/>
  <cols>
    <col min="1" max="1" width="15.1796875" customWidth="1"/>
    <col min="2" max="2" width="12.81640625" customWidth="1"/>
    <col min="3" max="6" width="10.81640625" customWidth="1"/>
    <col min="7" max="7" width="13.36328125" customWidth="1"/>
    <col min="8" max="9" width="13.54296875" customWidth="1"/>
    <col min="10" max="10" width="16.453125" customWidth="1"/>
    <col min="11" max="11" width="12.81640625" style="72" customWidth="1"/>
  </cols>
  <sheetData>
    <row r="1" spans="1:11" ht="18" x14ac:dyDescent="0.35">
      <c r="A1" s="183" t="str">
        <f>HAPs!A2</f>
        <v>SPRINGDALE ENERGY, LLC</v>
      </c>
      <c r="B1" s="183"/>
      <c r="C1" s="183"/>
      <c r="D1" s="183"/>
      <c r="E1" s="183"/>
      <c r="F1" s="183"/>
      <c r="G1" s="183"/>
      <c r="H1" s="183"/>
      <c r="I1" s="183"/>
      <c r="J1" s="183"/>
      <c r="K1" s="408"/>
    </row>
    <row r="2" spans="1:11" ht="18" x14ac:dyDescent="0.35">
      <c r="A2" s="183" t="str">
        <f>HAPs!A3</f>
        <v>SPRINGDALE POWER STATION</v>
      </c>
      <c r="B2" s="183"/>
      <c r="C2" s="183"/>
      <c r="D2" s="183"/>
      <c r="E2" s="183"/>
      <c r="F2" s="183"/>
      <c r="G2" s="183"/>
      <c r="H2" s="183"/>
      <c r="I2" s="183"/>
      <c r="J2" s="183"/>
      <c r="K2" s="408"/>
    </row>
    <row r="3" spans="1:11" ht="18" x14ac:dyDescent="0.35">
      <c r="A3" s="183" t="s">
        <v>310</v>
      </c>
      <c r="B3" s="183"/>
      <c r="C3" s="183"/>
      <c r="D3" s="183"/>
      <c r="E3" s="183"/>
      <c r="F3" s="183"/>
      <c r="G3" s="183"/>
      <c r="H3" s="183"/>
      <c r="I3" s="183"/>
      <c r="J3" s="183"/>
      <c r="K3" s="408"/>
    </row>
    <row r="4" spans="1:11" ht="18" x14ac:dyDescent="0.35">
      <c r="A4" s="183" t="s">
        <v>311</v>
      </c>
      <c r="B4" s="183"/>
      <c r="C4" s="183"/>
      <c r="D4" s="183"/>
      <c r="E4" s="183"/>
      <c r="F4" s="183"/>
      <c r="G4" s="183"/>
      <c r="H4" s="183"/>
      <c r="I4" s="183"/>
      <c r="J4" s="183"/>
      <c r="K4" s="408"/>
    </row>
    <row r="5" spans="1:11" ht="3.75" customHeight="1" thickBot="1" x14ac:dyDescent="0.4">
      <c r="A5" s="181"/>
      <c r="B5" s="181"/>
      <c r="C5" s="181"/>
      <c r="D5" s="181"/>
      <c r="E5" s="181"/>
      <c r="F5" s="181"/>
      <c r="G5" s="181"/>
      <c r="H5" s="181"/>
      <c r="I5" s="181"/>
      <c r="J5" s="181"/>
      <c r="K5" s="409"/>
    </row>
    <row r="6" spans="1:11" ht="18.600000000000001" thickTop="1" x14ac:dyDescent="0.35">
      <c r="A6" s="410"/>
      <c r="B6" s="411"/>
      <c r="C6" s="623" t="s">
        <v>312</v>
      </c>
      <c r="D6" s="624"/>
      <c r="E6" s="624"/>
      <c r="F6" s="624"/>
      <c r="G6" s="624"/>
      <c r="H6" s="624"/>
      <c r="I6" s="624"/>
      <c r="J6" s="625"/>
      <c r="K6" s="181"/>
    </row>
    <row r="7" spans="1:11" ht="18.600000000000001" thickBot="1" x14ac:dyDescent="0.4">
      <c r="A7" s="313"/>
      <c r="B7" s="412"/>
      <c r="C7" s="626"/>
      <c r="D7" s="627"/>
      <c r="E7" s="627"/>
      <c r="F7" s="627"/>
      <c r="G7" s="627"/>
      <c r="H7" s="627"/>
      <c r="I7" s="627"/>
      <c r="J7" s="628"/>
      <c r="K7" s="181"/>
    </row>
    <row r="8" spans="1:11" ht="30.75" customHeight="1" thickTop="1" thickBot="1" x14ac:dyDescent="0.4">
      <c r="A8" s="629" t="s">
        <v>313</v>
      </c>
      <c r="B8" s="630"/>
      <c r="C8" s="413" t="s">
        <v>314</v>
      </c>
      <c r="D8" s="414" t="s">
        <v>284</v>
      </c>
      <c r="E8" s="415" t="s">
        <v>285</v>
      </c>
      <c r="F8" s="416" t="s">
        <v>315</v>
      </c>
      <c r="G8" s="572" t="s">
        <v>316</v>
      </c>
      <c r="H8" s="417" t="s">
        <v>317</v>
      </c>
      <c r="I8" s="418" t="s">
        <v>318</v>
      </c>
      <c r="J8" s="419" t="s">
        <v>319</v>
      </c>
      <c r="K8" s="181"/>
    </row>
    <row r="9" spans="1:11" ht="18" x14ac:dyDescent="0.35">
      <c r="A9" s="631" t="s">
        <v>140</v>
      </c>
      <c r="B9" s="632"/>
      <c r="C9" s="420">
        <f>Typ_2!C30</f>
        <v>98</v>
      </c>
      <c r="D9" s="421">
        <f>Typ_2!F30</f>
        <v>87.6</v>
      </c>
      <c r="E9" s="422">
        <f>Typ_2!I30</f>
        <v>87.6</v>
      </c>
      <c r="F9" s="423"/>
      <c r="G9" s="424">
        <f>EGs!B39</f>
        <v>6.2225000000000001</v>
      </c>
      <c r="H9" s="425">
        <f>G9</f>
        <v>6.2225000000000001</v>
      </c>
      <c r="I9" s="426">
        <f>'G02'!F12</f>
        <v>0.97857766450907424</v>
      </c>
      <c r="J9" s="427"/>
      <c r="K9" s="181"/>
    </row>
    <row r="10" spans="1:11" ht="18" x14ac:dyDescent="0.35">
      <c r="A10" s="619" t="s">
        <v>143</v>
      </c>
      <c r="B10" s="620"/>
      <c r="C10" s="428">
        <f>Typ_2!C31</f>
        <v>115</v>
      </c>
      <c r="D10" s="429">
        <f>Typ_2!F31</f>
        <v>210.24</v>
      </c>
      <c r="E10" s="430">
        <f>Typ_2!I31</f>
        <v>210.24</v>
      </c>
      <c r="F10" s="431"/>
      <c r="G10" s="432">
        <f>EGs!D39</f>
        <v>0.21074999999999999</v>
      </c>
      <c r="H10" s="433">
        <f>G10</f>
        <v>0.21074999999999999</v>
      </c>
      <c r="I10" s="434">
        <f>'G02'!F13</f>
        <v>4.2356346672780827E-2</v>
      </c>
      <c r="J10" s="435"/>
      <c r="K10" s="181"/>
    </row>
    <row r="11" spans="1:11" ht="20.399999999999999" x14ac:dyDescent="0.35">
      <c r="A11" s="619" t="s">
        <v>320</v>
      </c>
      <c r="B11" s="620"/>
      <c r="C11" s="428">
        <f>Typ_2!C32</f>
        <v>6</v>
      </c>
      <c r="D11" s="429">
        <f>Typ_2!F32</f>
        <v>24.966000000000001</v>
      </c>
      <c r="E11" s="430">
        <f>Typ_2!I32</f>
        <v>24.966000000000001</v>
      </c>
      <c r="F11" s="431"/>
      <c r="G11" s="436">
        <f>EGs!G39</f>
        <v>4.4999999999999997E-3</v>
      </c>
      <c r="H11" s="437">
        <f>G11</f>
        <v>4.4999999999999997E-3</v>
      </c>
      <c r="I11" s="434">
        <f>'G02'!F14</f>
        <v>9.7857766450907435E-2</v>
      </c>
      <c r="J11" s="435"/>
      <c r="K11" s="181"/>
    </row>
    <row r="12" spans="1:11" ht="18" x14ac:dyDescent="0.35">
      <c r="A12" s="619" t="s">
        <v>165</v>
      </c>
      <c r="B12" s="620"/>
      <c r="C12" s="428">
        <f>Typ_2!C33</f>
        <v>17</v>
      </c>
      <c r="D12" s="429">
        <f>Typ_2!F33</f>
        <v>83.275379999999998</v>
      </c>
      <c r="E12" s="430">
        <f>Typ_2!I33</f>
        <v>82.195859999999996</v>
      </c>
      <c r="F12" s="431"/>
      <c r="G12" s="438">
        <f>EGs!E39</f>
        <v>0.02</v>
      </c>
      <c r="H12" s="439">
        <f>G12</f>
        <v>0.02</v>
      </c>
      <c r="I12" s="434">
        <f>'G02'!F15</f>
        <v>1.0223945748602269E-2</v>
      </c>
      <c r="J12" s="440">
        <f>'Cooling Tower'!E30</f>
        <v>2.8790631436123353</v>
      </c>
      <c r="K12" s="181"/>
    </row>
    <row r="13" spans="1:11" ht="20.399999999999999" x14ac:dyDescent="0.35">
      <c r="A13" s="619" t="s">
        <v>321</v>
      </c>
      <c r="B13" s="620"/>
      <c r="C13" s="428">
        <f>Typ_2!C34</f>
        <v>17</v>
      </c>
      <c r="D13" s="429">
        <f>Typ_2!F34</f>
        <v>83.275379999999998</v>
      </c>
      <c r="E13" s="430">
        <f>Typ_2!I34</f>
        <v>82.195859999999996</v>
      </c>
      <c r="F13" s="431"/>
      <c r="G13" s="438">
        <f>EGs!F39</f>
        <v>0.02</v>
      </c>
      <c r="H13" s="439">
        <f>G13</f>
        <v>0.02</v>
      </c>
      <c r="I13" s="434">
        <f>'G02'!F15</f>
        <v>1.0223945748602269E-2</v>
      </c>
      <c r="J13" s="440">
        <f>J12</f>
        <v>2.8790631436123353</v>
      </c>
      <c r="K13" s="181"/>
    </row>
    <row r="14" spans="1:11" ht="20.399999999999999" x14ac:dyDescent="0.35">
      <c r="A14" s="619" t="s">
        <v>322</v>
      </c>
      <c r="B14" s="620"/>
      <c r="C14" s="428">
        <f>Typ_2!C35</f>
        <v>17</v>
      </c>
      <c r="D14" s="429">
        <f>Typ_2!F35</f>
        <v>83.275379999999998</v>
      </c>
      <c r="E14" s="430">
        <f>Typ_2!I35</f>
        <v>82.195859999999996</v>
      </c>
      <c r="F14" s="431"/>
      <c r="G14" s="436"/>
      <c r="H14" s="437"/>
      <c r="I14" s="434"/>
      <c r="J14" s="440">
        <f>J13</f>
        <v>2.8790631436123353</v>
      </c>
      <c r="K14" s="181"/>
    </row>
    <row r="15" spans="1:11" ht="20.399999999999999" x14ac:dyDescent="0.35">
      <c r="A15" s="619" t="s">
        <v>323</v>
      </c>
      <c r="B15" s="620"/>
      <c r="C15" s="428">
        <f>Typ_2!C36</f>
        <v>4.4381630000000003</v>
      </c>
      <c r="D15" s="429">
        <f>Typ_2!F36</f>
        <v>192.60612000000003</v>
      </c>
      <c r="E15" s="430">
        <f>Typ_2!I36</f>
        <v>210.94955999999999</v>
      </c>
      <c r="F15" s="431"/>
      <c r="G15" s="436"/>
      <c r="H15" s="437"/>
      <c r="I15" s="434"/>
      <c r="J15" s="435"/>
      <c r="K15" s="181"/>
    </row>
    <row r="16" spans="1:11" ht="18.600000000000001" thickBot="1" x14ac:dyDescent="0.4">
      <c r="A16" s="621" t="s">
        <v>299</v>
      </c>
      <c r="B16" s="622"/>
      <c r="C16" s="428">
        <f>Typ_2!C40</f>
        <v>10</v>
      </c>
      <c r="D16" s="441">
        <f>Typ_2!F40</f>
        <v>25</v>
      </c>
      <c r="E16" s="442">
        <f>Typ_2!I40</f>
        <v>23</v>
      </c>
      <c r="F16" s="431"/>
      <c r="G16" s="443">
        <f>EGs!C39</f>
        <v>0.10025000000000001</v>
      </c>
      <c r="H16" s="439">
        <f>G16</f>
        <v>0.10025000000000001</v>
      </c>
      <c r="I16" s="434">
        <f>'G02'!F16</f>
        <v>3.3592964602550318E-2</v>
      </c>
      <c r="J16" s="435"/>
      <c r="K16" s="181"/>
    </row>
    <row r="17" spans="1:12" ht="19.2" thickTop="1" thickBot="1" x14ac:dyDescent="0.4">
      <c r="A17" s="444" t="s">
        <v>324</v>
      </c>
      <c r="B17" s="445"/>
      <c r="C17" s="446"/>
      <c r="D17" s="447"/>
      <c r="E17" s="448"/>
      <c r="F17" s="447"/>
      <c r="G17" s="449"/>
      <c r="H17" s="450"/>
      <c r="I17" s="451"/>
      <c r="J17" s="448"/>
      <c r="K17" s="181"/>
    </row>
    <row r="18" spans="1:12" ht="18" x14ac:dyDescent="0.35">
      <c r="A18" s="570" t="s">
        <v>186</v>
      </c>
      <c r="B18" s="571"/>
      <c r="C18" s="452">
        <f>HAPs!E10+HAPs!F10</f>
        <v>8.1208940000000002E-4</v>
      </c>
      <c r="D18" s="452">
        <f>HAPs!G10</f>
        <v>3.9438396000000004E-3</v>
      </c>
      <c r="E18" s="453">
        <f>HAPs!H10</f>
        <v>3.9438396000000004E-3</v>
      </c>
      <c r="F18" s="454"/>
      <c r="G18" s="455"/>
      <c r="H18" s="456"/>
      <c r="I18" s="457">
        <f>'G02'!E21</f>
        <v>1.9155090000000002E-5</v>
      </c>
      <c r="J18" s="453"/>
      <c r="K18" s="181"/>
    </row>
    <row r="19" spans="1:12" ht="18" x14ac:dyDescent="0.35">
      <c r="A19" s="566" t="s">
        <v>188</v>
      </c>
      <c r="B19" s="567"/>
      <c r="C19" s="452">
        <f>HAPs!E11+HAPs!F11</f>
        <v>7.5543200000000019E-2</v>
      </c>
      <c r="D19" s="452">
        <f>HAPs!G11</f>
        <v>0.36686879999999999</v>
      </c>
      <c r="E19" s="453">
        <f>HAPs!H11</f>
        <v>0.36686879999999999</v>
      </c>
      <c r="F19" s="458"/>
      <c r="G19" s="436">
        <v>0</v>
      </c>
      <c r="H19" s="437">
        <v>0</v>
      </c>
      <c r="I19" s="459">
        <f>'G02'!E22</f>
        <v>3.7575329999999999E-4</v>
      </c>
      <c r="J19" s="460"/>
      <c r="K19" s="181"/>
    </row>
    <row r="20" spans="1:12" ht="18" x14ac:dyDescent="0.35">
      <c r="A20" s="566" t="s">
        <v>189</v>
      </c>
      <c r="B20" s="567"/>
      <c r="C20" s="452">
        <f>HAPs!E12+HAPs!F12</f>
        <v>1.2086912E-2</v>
      </c>
      <c r="D20" s="452">
        <f>HAPs!G12</f>
        <v>5.8699007999999997E-2</v>
      </c>
      <c r="E20" s="453">
        <f>HAPs!H12</f>
        <v>5.8699007999999997E-2</v>
      </c>
      <c r="F20" s="454"/>
      <c r="G20" s="436">
        <v>0</v>
      </c>
      <c r="H20" s="437">
        <v>0</v>
      </c>
      <c r="I20" s="457">
        <f>'G02'!E23</f>
        <v>4.5315750000000001E-5</v>
      </c>
      <c r="J20" s="453"/>
      <c r="K20" s="181"/>
    </row>
    <row r="21" spans="1:12" s="45" customFormat="1" ht="18" x14ac:dyDescent="0.35">
      <c r="A21" s="566" t="s">
        <v>190</v>
      </c>
      <c r="B21" s="567"/>
      <c r="C21" s="452">
        <f>HAPs!E13+HAPs!F13</f>
        <v>2.2662960000000003E-2</v>
      </c>
      <c r="D21" s="452">
        <f>HAPs!G13</f>
        <v>0.11006064</v>
      </c>
      <c r="E21" s="453">
        <f>HAPs!H13</f>
        <v>0.11006064</v>
      </c>
      <c r="F21" s="454"/>
      <c r="G21" s="455">
        <v>2.5000000000000001E-3</v>
      </c>
      <c r="H21" s="456">
        <v>2.5000000000000001E-3</v>
      </c>
      <c r="I21" s="459">
        <f>'G02'!E24</f>
        <v>4.5707670000000002E-4</v>
      </c>
      <c r="J21" s="453"/>
      <c r="K21" s="181"/>
      <c r="L21"/>
    </row>
    <row r="22" spans="1:12" ht="18" x14ac:dyDescent="0.35">
      <c r="A22" s="566" t="s">
        <v>191</v>
      </c>
      <c r="B22" s="567"/>
      <c r="C22" s="452">
        <f>HAPs!E14+HAPs!F14</f>
        <v>6.0434559999999998E-2</v>
      </c>
      <c r="D22" s="452">
        <f>HAPs!G14</f>
        <v>0.29349503999999998</v>
      </c>
      <c r="E22" s="453">
        <f>HAPs!H14</f>
        <v>0.29349503999999998</v>
      </c>
      <c r="F22" s="454"/>
      <c r="G22" s="455"/>
      <c r="H22" s="456"/>
      <c r="I22" s="459"/>
      <c r="J22" s="453"/>
      <c r="K22" s="181"/>
    </row>
    <row r="23" spans="1:12" ht="18" x14ac:dyDescent="0.35">
      <c r="A23" s="566" t="s">
        <v>118</v>
      </c>
      <c r="B23" s="567"/>
      <c r="C23" s="452">
        <f>HAPs!E15+HAPs!F15</f>
        <v>3.3</v>
      </c>
      <c r="D23" s="452">
        <f>HAPs!G15</f>
        <v>2.85</v>
      </c>
      <c r="E23" s="453">
        <f>HAPs!H15</f>
        <v>2.85</v>
      </c>
      <c r="F23" s="454"/>
      <c r="G23" s="436">
        <v>0</v>
      </c>
      <c r="H23" s="437">
        <v>0</v>
      </c>
      <c r="I23" s="459">
        <f>'G02'!E25</f>
        <v>5.7808200000000005E-4</v>
      </c>
      <c r="J23" s="453"/>
      <c r="K23" s="181"/>
    </row>
    <row r="24" spans="1:12" ht="18" x14ac:dyDescent="0.35">
      <c r="A24" s="566" t="s">
        <v>192</v>
      </c>
      <c r="B24" s="567"/>
      <c r="C24" s="452">
        <f>HAPs!E16+HAPs!F16</f>
        <v>2.4551540000000002E-3</v>
      </c>
      <c r="D24" s="452">
        <f>HAPs!G16</f>
        <v>1.1923236E-2</v>
      </c>
      <c r="E24" s="453">
        <f>HAPs!H16</f>
        <v>1.1923236E-2</v>
      </c>
      <c r="F24" s="454"/>
      <c r="G24" s="455"/>
      <c r="H24" s="456"/>
      <c r="I24" s="459"/>
      <c r="J24" s="453"/>
      <c r="K24" s="181"/>
    </row>
    <row r="25" spans="1:12" ht="18" x14ac:dyDescent="0.35">
      <c r="A25" s="566" t="s">
        <v>193</v>
      </c>
      <c r="B25" s="567"/>
      <c r="C25" s="452">
        <f>HAPs!E17+HAPs!F17</f>
        <v>4.1548760000000001E-3</v>
      </c>
      <c r="D25" s="452">
        <f>HAPs!G17</f>
        <v>2.0177784000000004E-2</v>
      </c>
      <c r="E25" s="453">
        <f>HAPs!H17</f>
        <v>2.0177784000000004E-2</v>
      </c>
      <c r="F25" s="454"/>
      <c r="G25" s="455">
        <v>5.0000000000000001E-4</v>
      </c>
      <c r="H25" s="456">
        <v>5.0000000000000001E-4</v>
      </c>
      <c r="I25" s="459">
        <f>'G02'!E26</f>
        <v>8.2303200000000002E-5</v>
      </c>
      <c r="J25" s="453"/>
      <c r="K25" s="181"/>
    </row>
    <row r="26" spans="1:12" ht="18" x14ac:dyDescent="0.35">
      <c r="A26" s="566" t="s">
        <v>194</v>
      </c>
      <c r="B26" s="567"/>
      <c r="C26" s="452">
        <f>HAPs!E18+HAPs!F18</f>
        <v>5.4768819999999996E-2</v>
      </c>
      <c r="D26" s="452">
        <f>HAPs!G18</f>
        <v>0.26597988</v>
      </c>
      <c r="E26" s="453">
        <f>HAPs!H18</f>
        <v>0.26597988</v>
      </c>
      <c r="F26" s="454"/>
      <c r="G26" s="455"/>
      <c r="H26" s="456"/>
      <c r="I26" s="459"/>
      <c r="J26" s="453"/>
      <c r="K26" s="181"/>
    </row>
    <row r="27" spans="1:12" ht="18" x14ac:dyDescent="0.35">
      <c r="A27" s="566" t="s">
        <v>195</v>
      </c>
      <c r="B27" s="567"/>
      <c r="C27" s="452">
        <f>HAPs!E19+HAPs!F19</f>
        <v>0.24551539999999997</v>
      </c>
      <c r="D27" s="452">
        <f>HAPs!G19</f>
        <v>1.1923235999999999</v>
      </c>
      <c r="E27" s="453">
        <f>HAPs!H19</f>
        <v>1.1923235999999999</v>
      </c>
      <c r="F27" s="458"/>
      <c r="G27" s="436">
        <v>1E-3</v>
      </c>
      <c r="H27" s="437">
        <v>1E-3</v>
      </c>
      <c r="I27" s="459">
        <f>'G02'!E27</f>
        <v>2.003691E-4</v>
      </c>
      <c r="J27" s="460"/>
      <c r="K27" s="181"/>
    </row>
    <row r="28" spans="1:12" s="45" customFormat="1" ht="18.600000000000001" thickBot="1" x14ac:dyDescent="0.4">
      <c r="A28" s="568" t="s">
        <v>196</v>
      </c>
      <c r="B28" s="569"/>
      <c r="C28" s="452">
        <f>HAPs!E20+HAPs!F20</f>
        <v>0.12086912</v>
      </c>
      <c r="D28" s="452">
        <f>HAPs!G20</f>
        <v>0.58699007999999997</v>
      </c>
      <c r="E28" s="453">
        <f>HAPs!H20</f>
        <v>0.58699007999999997</v>
      </c>
      <c r="F28" s="458"/>
      <c r="G28" s="455">
        <v>5.0000000000000001E-4</v>
      </c>
      <c r="H28" s="456">
        <v>5.0000000000000001E-4</v>
      </c>
      <c r="I28" s="459">
        <f>'G02'!E28</f>
        <v>1.3962149999999999E-4</v>
      </c>
      <c r="J28" s="460"/>
      <c r="K28" s="181"/>
      <c r="L28"/>
    </row>
    <row r="29" spans="1:12" ht="19.2" thickTop="1" thickBot="1" x14ac:dyDescent="0.4">
      <c r="A29" s="461" t="s">
        <v>325</v>
      </c>
      <c r="B29" s="462"/>
      <c r="C29" s="446"/>
      <c r="D29" s="447"/>
      <c r="E29" s="448"/>
      <c r="F29" s="447"/>
      <c r="G29" s="449"/>
      <c r="H29" s="450"/>
      <c r="I29" s="451"/>
      <c r="J29" s="448"/>
      <c r="K29" s="181"/>
    </row>
    <row r="30" spans="1:12" ht="18" customHeight="1" x14ac:dyDescent="0.35">
      <c r="A30" s="570" t="s">
        <v>117</v>
      </c>
      <c r="B30" s="571"/>
      <c r="C30" s="463">
        <v>0</v>
      </c>
      <c r="D30" s="464">
        <f>[1]Typ_2!I42</f>
        <v>3.0003000000000002</v>
      </c>
      <c r="E30" s="465">
        <f>[1]Typ_2!L42</f>
        <v>3.0003000000000002</v>
      </c>
      <c r="F30" s="454"/>
      <c r="G30" s="455"/>
      <c r="H30" s="466"/>
      <c r="I30" s="453"/>
      <c r="J30" s="467"/>
      <c r="K30" s="181"/>
    </row>
    <row r="31" spans="1:12" ht="17.25" customHeight="1" thickBot="1" x14ac:dyDescent="0.4">
      <c r="A31" s="566" t="s">
        <v>119</v>
      </c>
      <c r="B31" s="567"/>
      <c r="C31" s="463">
        <v>0</v>
      </c>
      <c r="D31" s="464">
        <f>Typ_2!F41</f>
        <v>122.5</v>
      </c>
      <c r="E31" s="367">
        <f>Typ_2!I41</f>
        <v>122.5</v>
      </c>
      <c r="F31" s="464">
        <f>'NH3 tank'!C21/2000</f>
        <v>0.64779999999999993</v>
      </c>
      <c r="G31" s="465"/>
      <c r="H31" s="465"/>
      <c r="I31" s="465"/>
      <c r="J31" s="468"/>
      <c r="K31" s="181"/>
    </row>
    <row r="32" spans="1:12" ht="19.5" customHeight="1" thickTop="1" thickBot="1" x14ac:dyDescent="0.4">
      <c r="A32" s="461" t="s">
        <v>326</v>
      </c>
      <c r="B32" s="462"/>
      <c r="C32" s="446"/>
      <c r="D32" s="447"/>
      <c r="E32" s="448"/>
      <c r="F32" s="447"/>
      <c r="G32" s="448"/>
      <c r="H32" s="448"/>
      <c r="I32" s="448"/>
      <c r="J32" s="448"/>
      <c r="K32" s="181"/>
    </row>
    <row r="33" spans="1:11" ht="20.399999999999999" x14ac:dyDescent="0.45">
      <c r="A33" s="469" t="s">
        <v>327</v>
      </c>
      <c r="B33" s="470"/>
      <c r="C33" s="463">
        <f>Typ_2!C37</f>
        <v>1.8885799999999999</v>
      </c>
      <c r="D33" s="464">
        <f>[1]Typ_2!I37</f>
        <v>18.343439999999998</v>
      </c>
      <c r="E33" s="465">
        <f>[1]Typ_2!L37</f>
        <v>18.343439999999998</v>
      </c>
      <c r="F33" s="454"/>
      <c r="G33" s="471">
        <f>0.04/2</f>
        <v>0.02</v>
      </c>
      <c r="H33" s="471">
        <f>0.04/2</f>
        <v>0.02</v>
      </c>
      <c r="I33" s="472">
        <f>'G02'!E34</f>
        <v>3.2401300139999994E-3</v>
      </c>
      <c r="J33" s="467"/>
      <c r="K33" s="181"/>
    </row>
    <row r="34" spans="1:11" ht="20.399999999999999" x14ac:dyDescent="0.45">
      <c r="A34" s="469" t="s">
        <v>328</v>
      </c>
      <c r="B34" s="470"/>
      <c r="C34" s="463">
        <f>Typ_2!C38</f>
        <v>0.188858</v>
      </c>
      <c r="D34" s="463">
        <f>[1]Typ_2!I38</f>
        <v>1.834344</v>
      </c>
      <c r="E34" s="367">
        <f>[1]Typ_2!L38</f>
        <v>1.834344</v>
      </c>
      <c r="F34" s="464"/>
      <c r="G34" s="471">
        <f>0.008/2</f>
        <v>4.0000000000000001E-3</v>
      </c>
      <c r="H34" s="471">
        <f>0.008/2</f>
        <v>4.0000000000000001E-3</v>
      </c>
      <c r="I34" s="472">
        <f>'G02'!E35</f>
        <v>6.4802600279999993E-4</v>
      </c>
      <c r="J34" s="468"/>
      <c r="K34" s="181"/>
    </row>
    <row r="35" spans="1:11" ht="20.399999999999999" x14ac:dyDescent="0.45">
      <c r="A35" s="473" t="s">
        <v>329</v>
      </c>
      <c r="B35" s="337"/>
      <c r="C35" s="474">
        <f>Typ_2!C39</f>
        <v>103871.9</v>
      </c>
      <c r="D35" s="475">
        <f>[1]Typ_2!I39</f>
        <v>1079442.24</v>
      </c>
      <c r="E35" s="476">
        <f>[1]Typ_2!L39</f>
        <v>1079442.24</v>
      </c>
      <c r="F35" s="477"/>
      <c r="G35" s="478">
        <f>959/2</f>
        <v>479.5</v>
      </c>
      <c r="H35" s="478">
        <f>959/2</f>
        <v>479.5</v>
      </c>
      <c r="I35" s="479">
        <f>'G02'!E33</f>
        <v>79.88000527847997</v>
      </c>
      <c r="J35" s="480"/>
      <c r="K35" s="181"/>
    </row>
    <row r="36" spans="1:11" ht="18" customHeight="1" x14ac:dyDescent="0.3">
      <c r="A36" s="481" t="s">
        <v>330</v>
      </c>
      <c r="B36" s="481"/>
      <c r="C36" s="481"/>
      <c r="D36" s="481"/>
      <c r="E36" s="481"/>
      <c r="F36" s="481"/>
      <c r="G36" s="481"/>
      <c r="H36" s="481"/>
      <c r="I36" s="481"/>
      <c r="J36" s="481"/>
      <c r="K36" s="481"/>
    </row>
    <row r="37" spans="1:11" ht="18" x14ac:dyDescent="0.35">
      <c r="A37" s="181"/>
      <c r="B37" s="181"/>
      <c r="C37" s="482"/>
      <c r="D37" s="483"/>
      <c r="E37" s="483"/>
      <c r="F37" s="483"/>
      <c r="G37" s="483"/>
      <c r="H37" s="483"/>
      <c r="I37" s="483"/>
      <c r="J37" s="483"/>
      <c r="K37" s="483"/>
    </row>
  </sheetData>
  <mergeCells count="10">
    <mergeCell ref="C6:J7"/>
    <mergeCell ref="A8:B8"/>
    <mergeCell ref="A9:B9"/>
    <mergeCell ref="A10:B10"/>
    <mergeCell ref="A11:B11"/>
    <mergeCell ref="A12:B12"/>
    <mergeCell ref="A13:B13"/>
    <mergeCell ref="A14:B14"/>
    <mergeCell ref="A15:B15"/>
    <mergeCell ref="A16:B16"/>
  </mergeCells>
  <phoneticPr fontId="0" type="noConversion"/>
  <printOptions gridLinesSet="0"/>
  <pageMargins left="0.75" right="0.75" top="1" bottom="1" header="0.5" footer="0.5"/>
  <pageSetup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W22"/>
  <sheetViews>
    <sheetView showGridLines="0" zoomScale="70" workbookViewId="0">
      <selection activeCell="B8" sqref="B8"/>
    </sheetView>
  </sheetViews>
  <sheetFormatPr defaultColWidth="9.81640625" defaultRowHeight="15.6" x14ac:dyDescent="0.3"/>
  <cols>
    <col min="1" max="1" width="30.90625" customWidth="1"/>
    <col min="2" max="2" width="15.81640625" customWidth="1"/>
    <col min="3" max="3" width="13" customWidth="1"/>
    <col min="4" max="4" width="5.81640625" customWidth="1"/>
    <col min="5" max="5" width="14" customWidth="1"/>
    <col min="6" max="6" width="9.81640625" customWidth="1"/>
    <col min="7" max="7" width="6.81640625" customWidth="1"/>
    <col min="8" max="8" width="15.81640625" customWidth="1"/>
    <col min="9" max="9" width="13" customWidth="1"/>
    <col min="10" max="10" width="5.81640625" customWidth="1"/>
    <col min="11" max="11" width="16.1796875" customWidth="1"/>
    <col min="12" max="12" width="9.81640625" customWidth="1"/>
    <col min="13" max="13" width="6.81640625" customWidth="1"/>
    <col min="14" max="15" width="13.81640625" customWidth="1"/>
    <col min="16" max="16" width="2.81640625" customWidth="1"/>
    <col min="17" max="17" width="13.81640625" customWidth="1"/>
    <col min="18" max="18" width="12.81640625" customWidth="1"/>
    <col min="19" max="19" width="4.81640625" customWidth="1"/>
    <col min="20" max="20" width="11.81640625" customWidth="1"/>
    <col min="21" max="21" width="12.81640625" customWidth="1"/>
    <col min="22" max="22" width="5.81640625" customWidth="1"/>
    <col min="23" max="23" width="10.81640625" customWidth="1"/>
    <col min="24" max="24" width="6.81640625" customWidth="1"/>
    <col min="25" max="25" width="3.81640625" customWidth="1"/>
  </cols>
  <sheetData>
    <row r="1" spans="1:23" ht="15" customHeight="1" x14ac:dyDescent="0.35">
      <c r="A1" s="30"/>
      <c r="B1" s="6"/>
      <c r="C1" s="6"/>
      <c r="D1" s="6"/>
      <c r="E1" s="6"/>
      <c r="F1" s="6"/>
      <c r="G1" s="6"/>
      <c r="H1" s="6"/>
      <c r="I1" s="6"/>
      <c r="J1" s="6"/>
      <c r="K1" s="6"/>
      <c r="L1" s="6"/>
      <c r="M1" s="6"/>
      <c r="W1" s="4">
        <f ca="1">('PTE INPUTS'!$C$147)</f>
        <v>46155</v>
      </c>
    </row>
    <row r="2" spans="1:23" ht="21" x14ac:dyDescent="0.4">
      <c r="A2" s="576" t="s">
        <v>0</v>
      </c>
      <c r="B2" s="576"/>
      <c r="C2" s="576"/>
      <c r="D2" s="576"/>
      <c r="E2" s="576"/>
      <c r="F2" s="576"/>
      <c r="G2" s="576"/>
      <c r="H2" s="576"/>
      <c r="I2" s="576"/>
      <c r="J2" s="576"/>
      <c r="K2" s="576"/>
      <c r="L2" s="576"/>
      <c r="M2" s="576"/>
      <c r="N2" s="26"/>
      <c r="O2" s="26"/>
      <c r="P2" s="25"/>
      <c r="Q2" s="6"/>
      <c r="R2" s="6"/>
      <c r="S2" s="6"/>
      <c r="T2" s="6"/>
      <c r="U2" s="6"/>
      <c r="V2" s="6"/>
      <c r="W2" s="6"/>
    </row>
    <row r="3" spans="1:23" ht="21" x14ac:dyDescent="0.4">
      <c r="A3" s="576" t="s">
        <v>1</v>
      </c>
      <c r="B3" s="576"/>
      <c r="C3" s="576"/>
      <c r="D3" s="576"/>
      <c r="E3" s="576"/>
      <c r="F3" s="576"/>
      <c r="G3" s="576"/>
      <c r="H3" s="576"/>
      <c r="I3" s="576"/>
      <c r="J3" s="576"/>
      <c r="K3" s="576"/>
      <c r="L3" s="576"/>
      <c r="M3" s="576"/>
      <c r="N3" s="26"/>
      <c r="O3" s="26"/>
      <c r="P3" s="25"/>
      <c r="Q3" s="6"/>
      <c r="R3" s="6"/>
      <c r="S3" s="6"/>
      <c r="T3" s="6"/>
      <c r="U3" s="6"/>
      <c r="V3" s="6"/>
      <c r="W3" s="6"/>
    </row>
    <row r="4" spans="1:23" ht="21" x14ac:dyDescent="0.4">
      <c r="A4" s="576" t="str">
        <f>Typ_2!A3</f>
        <v>PTE CALCULATIONS EMISSIONS SUMMARY</v>
      </c>
      <c r="B4" s="577"/>
      <c r="C4" s="577"/>
      <c r="D4" s="577"/>
      <c r="E4" s="577"/>
      <c r="F4" s="577"/>
      <c r="G4" s="577"/>
      <c r="H4" s="577"/>
      <c r="I4" s="577"/>
      <c r="J4" s="577"/>
      <c r="K4" s="577"/>
      <c r="L4" s="577"/>
      <c r="M4" s="577"/>
      <c r="N4" s="30"/>
      <c r="O4" s="30"/>
      <c r="P4" s="25"/>
      <c r="Q4" s="6"/>
      <c r="R4" s="6"/>
      <c r="S4" s="6"/>
      <c r="T4" s="6"/>
      <c r="U4" s="6"/>
      <c r="V4" s="6"/>
      <c r="W4" s="6"/>
    </row>
    <row r="5" spans="1:23" ht="21" x14ac:dyDescent="0.4">
      <c r="A5" s="215"/>
      <c r="B5" s="216"/>
      <c r="C5" s="216"/>
      <c r="D5" s="216"/>
      <c r="E5" s="217"/>
      <c r="F5" s="217"/>
      <c r="G5" s="217"/>
      <c r="H5" s="215"/>
      <c r="I5" s="215"/>
      <c r="J5" s="215"/>
      <c r="K5" s="216"/>
      <c r="L5" s="216"/>
      <c r="M5" s="216"/>
      <c r="N5" s="24"/>
      <c r="O5" s="24"/>
      <c r="P5" s="22"/>
    </row>
    <row r="6" spans="1:23" ht="21" x14ac:dyDescent="0.35">
      <c r="A6" s="578" t="s">
        <v>121</v>
      </c>
      <c r="B6" s="579"/>
      <c r="C6" s="579"/>
      <c r="D6" s="579"/>
      <c r="E6" s="579"/>
      <c r="F6" s="579"/>
      <c r="G6" s="579"/>
      <c r="H6" s="579"/>
      <c r="I6" s="579"/>
      <c r="J6" s="579"/>
      <c r="K6" s="579"/>
      <c r="L6" s="579"/>
      <c r="M6" s="579"/>
      <c r="N6" s="28"/>
      <c r="O6" s="28"/>
      <c r="P6" s="27"/>
      <c r="Q6" s="6"/>
      <c r="R6" s="6"/>
      <c r="S6" s="6"/>
      <c r="T6" s="6"/>
      <c r="U6" s="6"/>
      <c r="V6" s="6"/>
    </row>
    <row r="7" spans="1:23" ht="21" x14ac:dyDescent="0.4">
      <c r="A7" s="216"/>
      <c r="B7" s="216"/>
      <c r="C7" s="216"/>
      <c r="D7" s="216"/>
      <c r="E7" s="217"/>
      <c r="F7" s="218"/>
      <c r="G7" s="218"/>
      <c r="H7" s="216"/>
      <c r="I7" s="216"/>
      <c r="J7" s="216"/>
      <c r="K7" s="216"/>
      <c r="L7" s="216"/>
      <c r="M7" s="216"/>
      <c r="N7" s="30"/>
      <c r="O7" s="30"/>
      <c r="P7" s="29"/>
      <c r="Q7" s="6"/>
      <c r="R7" s="6"/>
      <c r="S7" s="6"/>
      <c r="T7" s="6"/>
      <c r="U7" s="6"/>
      <c r="V7" s="6"/>
    </row>
    <row r="8" spans="1:23" ht="21" x14ac:dyDescent="0.4">
      <c r="A8" s="216"/>
      <c r="B8" s="216"/>
      <c r="C8" s="219" t="s">
        <v>122</v>
      </c>
      <c r="D8" s="218"/>
      <c r="E8" s="216"/>
      <c r="F8" s="218"/>
      <c r="G8" s="218"/>
      <c r="H8" s="218"/>
      <c r="I8" s="216"/>
      <c r="J8" s="216"/>
      <c r="K8" s="216"/>
      <c r="L8" s="216"/>
      <c r="M8" s="216"/>
      <c r="N8" s="30"/>
      <c r="O8" s="30"/>
      <c r="P8" s="30"/>
      <c r="Q8" s="6"/>
      <c r="R8" s="6"/>
      <c r="S8" s="6"/>
      <c r="T8" s="6"/>
      <c r="U8" s="6"/>
      <c r="V8" s="6"/>
    </row>
    <row r="9" spans="1:23" ht="18.600000000000001" thickBot="1" x14ac:dyDescent="0.4">
      <c r="A9" s="185"/>
      <c r="B9" s="185"/>
      <c r="C9" s="185"/>
      <c r="D9" s="185"/>
      <c r="E9" s="185"/>
      <c r="F9" s="185"/>
      <c r="G9" s="185"/>
      <c r="H9" s="185"/>
      <c r="I9" s="185"/>
      <c r="J9" s="185"/>
      <c r="K9" s="185"/>
      <c r="L9" s="185"/>
      <c r="M9" s="185"/>
      <c r="N9" s="24"/>
      <c r="O9" s="24"/>
      <c r="P9" s="24"/>
    </row>
    <row r="10" spans="1:23" ht="27" customHeight="1" thickTop="1" thickBot="1" x14ac:dyDescent="0.4">
      <c r="A10" s="186"/>
      <c r="B10" s="585" t="s">
        <v>123</v>
      </c>
      <c r="C10" s="586"/>
      <c r="D10" s="587"/>
      <c r="E10" s="588" t="s">
        <v>124</v>
      </c>
      <c r="F10" s="586"/>
      <c r="G10" s="586"/>
      <c r="H10" s="585" t="s">
        <v>125</v>
      </c>
      <c r="I10" s="586"/>
      <c r="J10" s="587"/>
      <c r="K10" s="588" t="s">
        <v>126</v>
      </c>
      <c r="L10" s="586"/>
      <c r="M10" s="589"/>
    </row>
    <row r="11" spans="1:23" ht="19.2" thickTop="1" thickBot="1" x14ac:dyDescent="0.4">
      <c r="A11" s="187" t="s">
        <v>127</v>
      </c>
      <c r="B11" s="582" t="s">
        <v>128</v>
      </c>
      <c r="C11" s="581"/>
      <c r="D11" s="583"/>
      <c r="E11" s="580" t="s">
        <v>128</v>
      </c>
      <c r="F11" s="581"/>
      <c r="G11" s="581"/>
      <c r="H11" s="582" t="s">
        <v>128</v>
      </c>
      <c r="I11" s="581"/>
      <c r="J11" s="583"/>
      <c r="K11" s="580" t="s">
        <v>128</v>
      </c>
      <c r="L11" s="581"/>
      <c r="M11" s="584"/>
    </row>
    <row r="12" spans="1:23" ht="48" customHeight="1" thickBot="1" x14ac:dyDescent="0.5">
      <c r="A12" s="193" t="s">
        <v>129</v>
      </c>
      <c r="B12" s="194">
        <f>'PTE INPUTS'!C11/1000</f>
        <v>1807.2535885167465</v>
      </c>
      <c r="C12" s="195" t="s">
        <v>130</v>
      </c>
      <c r="D12" s="196"/>
      <c r="E12" s="197">
        <f>'PTE INPUTS'!C31/1000</f>
        <v>1807.2535885167465</v>
      </c>
      <c r="F12" s="195" t="s">
        <v>130</v>
      </c>
      <c r="G12" s="198"/>
      <c r="H12" s="194">
        <f>'PTE INPUTS'!C53/1000</f>
        <v>17553.531100478467</v>
      </c>
      <c r="I12" s="195" t="s">
        <v>130</v>
      </c>
      <c r="J12" s="196"/>
      <c r="K12" s="197">
        <f>'PTE INPUTS'!C77/1000</f>
        <v>17553.531100478467</v>
      </c>
      <c r="L12" s="195" t="s">
        <v>130</v>
      </c>
      <c r="M12" s="199"/>
    </row>
    <row r="13" spans="1:23" ht="48" customHeight="1" thickBot="1" x14ac:dyDescent="0.5">
      <c r="A13" s="193" t="s">
        <v>131</v>
      </c>
      <c r="B13" s="200">
        <f>'PTE INPUTS'!C12</f>
        <v>1888580</v>
      </c>
      <c r="C13" s="201" t="s">
        <v>132</v>
      </c>
      <c r="D13" s="202"/>
      <c r="E13" s="203">
        <f>'PTE INPUTS'!C32</f>
        <v>1888580</v>
      </c>
      <c r="F13" s="201" t="s">
        <v>132</v>
      </c>
      <c r="G13" s="204"/>
      <c r="H13" s="200">
        <f>'PTE INPUTS'!C54</f>
        <v>18343440</v>
      </c>
      <c r="I13" s="201" t="s">
        <v>132</v>
      </c>
      <c r="J13" s="202"/>
      <c r="K13" s="203">
        <f>'PTE INPUTS'!C78</f>
        <v>18343440</v>
      </c>
      <c r="L13" s="201" t="s">
        <v>132</v>
      </c>
      <c r="M13" s="205"/>
    </row>
    <row r="14" spans="1:23" ht="48" customHeight="1" thickBot="1" x14ac:dyDescent="0.5">
      <c r="A14" s="206" t="s">
        <v>133</v>
      </c>
      <c r="B14" s="207">
        <f>B13/B12</f>
        <v>1045</v>
      </c>
      <c r="C14" s="208" t="s">
        <v>134</v>
      </c>
      <c r="D14" s="209"/>
      <c r="E14" s="210">
        <f>E13/E12</f>
        <v>1045</v>
      </c>
      <c r="F14" s="208" t="s">
        <v>134</v>
      </c>
      <c r="G14" s="211"/>
      <c r="H14" s="207">
        <f>H13/H12</f>
        <v>1045</v>
      </c>
      <c r="I14" s="208" t="s">
        <v>134</v>
      </c>
      <c r="J14" s="209"/>
      <c r="K14" s="210">
        <f>K13/K12</f>
        <v>1045</v>
      </c>
      <c r="L14" s="208" t="s">
        <v>134</v>
      </c>
      <c r="M14" s="212"/>
    </row>
    <row r="15" spans="1:23" ht="24" thickTop="1" x14ac:dyDescent="0.45">
      <c r="A15" s="213"/>
      <c r="B15" s="214"/>
      <c r="C15" s="214"/>
      <c r="D15" s="214"/>
      <c r="E15" s="214"/>
      <c r="F15" s="214"/>
      <c r="G15" s="214"/>
      <c r="H15" s="214"/>
      <c r="I15" s="214"/>
      <c r="J15" s="214"/>
      <c r="K15" s="214"/>
      <c r="L15" s="214"/>
      <c r="M15" s="214"/>
    </row>
    <row r="16" spans="1:23" ht="5.0999999999999996" customHeight="1" x14ac:dyDescent="0.3">
      <c r="A16" s="182"/>
      <c r="B16" s="182"/>
      <c r="C16" s="182"/>
      <c r="D16" s="182"/>
      <c r="E16" s="182"/>
      <c r="F16" s="182"/>
      <c r="G16" s="182"/>
      <c r="H16" s="182"/>
      <c r="I16" s="182"/>
      <c r="J16" s="182"/>
      <c r="K16" s="182"/>
      <c r="L16" s="182"/>
      <c r="M16" s="182"/>
    </row>
    <row r="17" spans="1:13" x14ac:dyDescent="0.3">
      <c r="A17" s="188"/>
      <c r="B17" s="189"/>
      <c r="C17" s="190"/>
      <c r="D17" s="190"/>
      <c r="E17" s="190"/>
      <c r="F17" s="190"/>
      <c r="G17" s="190"/>
      <c r="H17" s="190"/>
      <c r="I17" s="190"/>
      <c r="J17" s="182"/>
      <c r="K17" s="182"/>
      <c r="L17" s="182"/>
      <c r="M17" s="182"/>
    </row>
    <row r="18" spans="1:13" ht="5.0999999999999996" customHeight="1" x14ac:dyDescent="0.3">
      <c r="A18" s="182"/>
      <c r="B18" s="182"/>
      <c r="C18" s="182"/>
      <c r="D18" s="182"/>
      <c r="E18" s="182"/>
      <c r="F18" s="182"/>
      <c r="G18" s="182"/>
      <c r="H18" s="182"/>
      <c r="I18" s="182"/>
      <c r="J18" s="182"/>
      <c r="K18" s="182"/>
      <c r="L18" s="182"/>
      <c r="M18" s="182"/>
    </row>
    <row r="19" spans="1:13" x14ac:dyDescent="0.3">
      <c r="A19" s="191"/>
      <c r="B19" s="192"/>
      <c r="C19" s="182"/>
      <c r="D19" s="182"/>
      <c r="E19" s="182"/>
      <c r="F19" s="182"/>
      <c r="G19" s="182"/>
      <c r="H19" s="182"/>
      <c r="I19" s="182"/>
      <c r="J19" s="182"/>
      <c r="K19" s="182"/>
      <c r="L19" s="182"/>
      <c r="M19" s="182"/>
    </row>
    <row r="20" spans="1:13" ht="5.0999999999999996" customHeight="1" x14ac:dyDescent="0.3">
      <c r="A20" s="182"/>
      <c r="B20" s="182"/>
      <c r="C20" s="182"/>
      <c r="D20" s="182"/>
      <c r="E20" s="182"/>
      <c r="F20" s="182"/>
      <c r="G20" s="182"/>
      <c r="H20" s="182"/>
      <c r="I20" s="182"/>
      <c r="J20" s="182"/>
      <c r="K20" s="182"/>
      <c r="L20" s="182"/>
      <c r="M20" s="182"/>
    </row>
    <row r="21" spans="1:13" x14ac:dyDescent="0.3">
      <c r="A21" s="191"/>
      <c r="B21" s="192"/>
      <c r="C21" s="182"/>
      <c r="D21" s="182"/>
      <c r="E21" s="182"/>
      <c r="F21" s="182"/>
      <c r="G21" s="182"/>
      <c r="H21" s="182"/>
      <c r="I21" s="182"/>
      <c r="J21" s="182"/>
      <c r="K21" s="182"/>
      <c r="L21" s="182"/>
      <c r="M21" s="182"/>
    </row>
    <row r="22" spans="1:13" x14ac:dyDescent="0.3">
      <c r="A22" s="192"/>
      <c r="B22" s="182"/>
      <c r="C22" s="182"/>
      <c r="D22" s="182"/>
      <c r="E22" s="182"/>
      <c r="F22" s="182"/>
      <c r="G22" s="182"/>
      <c r="H22" s="182"/>
      <c r="I22" s="182"/>
      <c r="J22" s="182"/>
      <c r="K22" s="182"/>
      <c r="L22" s="182"/>
      <c r="M22" s="182"/>
    </row>
  </sheetData>
  <mergeCells count="12">
    <mergeCell ref="A3:M3"/>
    <mergeCell ref="A2:M2"/>
    <mergeCell ref="A4:M4"/>
    <mergeCell ref="A6:M6"/>
    <mergeCell ref="E11:G11"/>
    <mergeCell ref="B11:D11"/>
    <mergeCell ref="H11:J11"/>
    <mergeCell ref="K11:M11"/>
    <mergeCell ref="B10:D10"/>
    <mergeCell ref="E10:G10"/>
    <mergeCell ref="H10:J10"/>
    <mergeCell ref="K10:M10"/>
  </mergeCells>
  <phoneticPr fontId="0" type="noConversion"/>
  <printOptions horizontalCentered="1" gridLinesSet="0"/>
  <pageMargins left="0.22900000000000001" right="6.9000000000000006E-2" top="0.5" bottom="0.5" header="0.5" footer="0.5"/>
  <pageSetup scale="80" orientation="landscape" horizontalDpi="4294967292" r:id="rId1"/>
  <headerFooter alignWithMargins="0">
    <oddFooter>&amp;L&amp;F&amp;C&amp;P-1 of &amp;N-1</oddFooter>
  </headerFooter>
  <rowBreaks count="1" manualBreakCount="1">
    <brk id="32"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pageSetUpPr fitToPage="1"/>
  </sheetPr>
  <dimension ref="A1:K43"/>
  <sheetViews>
    <sheetView showGridLines="0" topLeftCell="A11" workbookViewId="0">
      <selection activeCell="F21" sqref="F21"/>
    </sheetView>
  </sheetViews>
  <sheetFormatPr defaultColWidth="8.81640625" defaultRowHeight="15.6" x14ac:dyDescent="0.3"/>
  <cols>
    <col min="1" max="1" width="6.1796875" customWidth="1"/>
    <col min="2" max="2" width="14.08984375" customWidth="1"/>
    <col min="3" max="3" width="16.54296875" customWidth="1"/>
    <col min="4" max="11" width="10.81640625" customWidth="1"/>
  </cols>
  <sheetData>
    <row r="1" spans="1:11" ht="18" x14ac:dyDescent="0.35">
      <c r="A1" s="24"/>
      <c r="K1" s="4"/>
    </row>
    <row r="2" spans="1:11" ht="18" x14ac:dyDescent="0.35">
      <c r="A2" s="25" t="s">
        <v>0</v>
      </c>
      <c r="B2" s="6"/>
      <c r="C2" s="6"/>
      <c r="D2" s="6"/>
      <c r="E2" s="6"/>
      <c r="F2" s="6"/>
      <c r="G2" s="6"/>
      <c r="H2" s="6"/>
      <c r="I2" s="6"/>
      <c r="J2" s="6"/>
      <c r="K2" s="6"/>
    </row>
    <row r="3" spans="1:11" ht="18" x14ac:dyDescent="0.35">
      <c r="A3" s="25" t="s">
        <v>1</v>
      </c>
      <c r="B3" s="6"/>
      <c r="C3" s="6"/>
      <c r="D3" s="6"/>
      <c r="E3" s="6"/>
      <c r="F3" s="6"/>
      <c r="G3" s="6"/>
      <c r="H3" s="6"/>
      <c r="I3" s="6"/>
      <c r="J3" s="6"/>
      <c r="K3" s="6"/>
    </row>
    <row r="4" spans="1:11" ht="18" x14ac:dyDescent="0.35">
      <c r="A4" s="25" t="str">
        <f>('PTE INPUTS'!C152)</f>
        <v>PTE CALCULATIONS EMISSIONS SUMMARY</v>
      </c>
      <c r="B4" s="6"/>
      <c r="C4" s="6"/>
      <c r="D4" s="6"/>
      <c r="E4" s="6"/>
      <c r="F4" s="6"/>
      <c r="G4" s="6"/>
      <c r="H4" s="6"/>
      <c r="I4" s="6"/>
      <c r="J4" s="6"/>
      <c r="K4" s="6"/>
    </row>
    <row r="5" spans="1:11" ht="18" x14ac:dyDescent="0.35">
      <c r="A5" s="25" t="s">
        <v>127</v>
      </c>
      <c r="B5" s="6"/>
      <c r="C5" s="6"/>
      <c r="D5" s="6"/>
      <c r="E5" s="6"/>
      <c r="F5" s="6"/>
      <c r="G5" s="6"/>
      <c r="H5" s="6"/>
      <c r="I5" s="6"/>
      <c r="J5" s="6"/>
      <c r="K5" s="6"/>
    </row>
    <row r="6" spans="1:11" ht="18" x14ac:dyDescent="0.35">
      <c r="A6" s="40" t="s">
        <v>177</v>
      </c>
      <c r="B6" s="6"/>
      <c r="C6" s="6"/>
      <c r="D6" s="6"/>
      <c r="E6" s="6"/>
      <c r="F6" s="6"/>
      <c r="G6" s="6"/>
      <c r="H6" s="6"/>
      <c r="I6" s="6"/>
      <c r="J6" s="6"/>
      <c r="K6" s="6"/>
    </row>
    <row r="7" spans="1:11" x14ac:dyDescent="0.3">
      <c r="A7" s="29" t="s">
        <v>178</v>
      </c>
      <c r="B7" s="6"/>
      <c r="C7" s="6"/>
      <c r="D7" s="6"/>
      <c r="E7" s="6"/>
      <c r="F7" s="6"/>
      <c r="G7" s="6"/>
      <c r="H7" s="6"/>
      <c r="I7" s="6"/>
      <c r="J7" s="6"/>
      <c r="K7" s="6"/>
    </row>
    <row r="8" spans="1:11" ht="18" x14ac:dyDescent="0.35">
      <c r="A8" s="22"/>
    </row>
    <row r="9" spans="1:11" ht="18" x14ac:dyDescent="0.35">
      <c r="A9" s="25" t="s">
        <v>179</v>
      </c>
      <c r="B9" s="6"/>
      <c r="C9" s="6"/>
    </row>
    <row r="10" spans="1:11" ht="16.2" thickBot="1" x14ac:dyDescent="0.35"/>
    <row r="11" spans="1:11" ht="16.2" thickTop="1" x14ac:dyDescent="0.3">
      <c r="B11" s="100"/>
      <c r="C11" s="101"/>
      <c r="D11" s="94"/>
      <c r="E11" s="95"/>
      <c r="F11" s="95"/>
      <c r="G11" s="95"/>
      <c r="H11" s="95"/>
      <c r="I11" s="95"/>
      <c r="J11" s="95"/>
      <c r="K11" s="102"/>
    </row>
    <row r="12" spans="1:11" x14ac:dyDescent="0.3">
      <c r="B12" s="97" t="s">
        <v>180</v>
      </c>
      <c r="C12" s="103"/>
      <c r="D12" s="590" t="s">
        <v>181</v>
      </c>
      <c r="E12" s="591"/>
      <c r="F12" s="591"/>
      <c r="G12" s="591"/>
      <c r="H12" s="591"/>
      <c r="I12" s="591"/>
      <c r="J12" s="591"/>
      <c r="K12" s="592"/>
    </row>
    <row r="13" spans="1:11" ht="16.2" thickBot="1" x14ac:dyDescent="0.35">
      <c r="B13" s="104"/>
      <c r="C13" s="105"/>
      <c r="D13" s="593" t="s">
        <v>182</v>
      </c>
      <c r="E13" s="594"/>
      <c r="F13" s="594"/>
      <c r="G13" s="594"/>
      <c r="H13" s="594"/>
      <c r="I13" s="594"/>
      <c r="J13" s="594"/>
      <c r="K13" s="595"/>
    </row>
    <row r="14" spans="1:11" ht="16.2" thickTop="1" x14ac:dyDescent="0.3">
      <c r="B14" s="96"/>
      <c r="C14" s="106"/>
      <c r="D14" s="561"/>
      <c r="E14" s="107"/>
      <c r="F14" s="107"/>
      <c r="G14" s="108"/>
      <c r="H14" s="107"/>
      <c r="I14" s="109"/>
      <c r="J14" s="107"/>
      <c r="K14" s="98"/>
    </row>
    <row r="15" spans="1:11" ht="16.2" thickBot="1" x14ac:dyDescent="0.35">
      <c r="B15" s="110" t="s">
        <v>183</v>
      </c>
      <c r="C15" s="111"/>
      <c r="D15" s="112" t="s">
        <v>149</v>
      </c>
      <c r="E15" s="113" t="s">
        <v>152</v>
      </c>
      <c r="F15" s="113" t="s">
        <v>142</v>
      </c>
      <c r="G15" s="114" t="s">
        <v>150</v>
      </c>
      <c r="H15" s="113" t="s">
        <v>155</v>
      </c>
      <c r="I15" s="115" t="s">
        <v>175</v>
      </c>
      <c r="J15" s="113" t="s">
        <v>184</v>
      </c>
      <c r="K15" s="116" t="s">
        <v>185</v>
      </c>
    </row>
    <row r="16" spans="1:11" ht="17.100000000000001" customHeight="1" thickTop="1" x14ac:dyDescent="0.3">
      <c r="B16" s="32" t="s">
        <v>186</v>
      </c>
      <c r="C16" s="33"/>
      <c r="D16" s="47" t="s">
        <v>187</v>
      </c>
      <c r="E16" s="53">
        <v>4.3000000000000001E-7</v>
      </c>
      <c r="F16" s="55" t="s">
        <v>187</v>
      </c>
      <c r="G16" s="68" t="s">
        <v>187</v>
      </c>
      <c r="H16" s="55" t="s">
        <v>187</v>
      </c>
      <c r="I16" s="68" t="s">
        <v>187</v>
      </c>
      <c r="J16" s="55" t="s">
        <v>187</v>
      </c>
      <c r="K16" s="62" t="s">
        <v>187</v>
      </c>
    </row>
    <row r="17" spans="2:11" ht="17.100000000000001" customHeight="1" x14ac:dyDescent="0.3">
      <c r="B17" s="31" t="s">
        <v>188</v>
      </c>
      <c r="C17" s="34"/>
      <c r="D17" s="48" t="s">
        <v>187</v>
      </c>
      <c r="E17" s="53">
        <v>4.0000000000000003E-5</v>
      </c>
      <c r="F17" s="56" t="s">
        <v>187</v>
      </c>
      <c r="G17" s="69" t="s">
        <v>187</v>
      </c>
      <c r="H17" s="56" t="s">
        <v>187</v>
      </c>
      <c r="I17" s="69" t="s">
        <v>187</v>
      </c>
      <c r="J17" s="56" t="s">
        <v>187</v>
      </c>
      <c r="K17" s="63" t="s">
        <v>187</v>
      </c>
    </row>
    <row r="18" spans="2:11" ht="17.100000000000001" customHeight="1" x14ac:dyDescent="0.3">
      <c r="B18" s="32" t="s">
        <v>189</v>
      </c>
      <c r="C18" s="34"/>
      <c r="D18" s="48" t="s">
        <v>187</v>
      </c>
      <c r="E18" s="53">
        <v>6.3999999999999997E-6</v>
      </c>
      <c r="F18" s="56" t="s">
        <v>187</v>
      </c>
      <c r="G18" s="69" t="s">
        <v>187</v>
      </c>
      <c r="H18" s="56" t="s">
        <v>187</v>
      </c>
      <c r="I18" s="69" t="s">
        <v>187</v>
      </c>
      <c r="J18" s="56" t="s">
        <v>187</v>
      </c>
      <c r="K18" s="63" t="s">
        <v>187</v>
      </c>
    </row>
    <row r="19" spans="2:11" ht="17.100000000000001" customHeight="1" x14ac:dyDescent="0.3">
      <c r="B19" s="52" t="s">
        <v>190</v>
      </c>
      <c r="C19" s="33"/>
      <c r="D19" s="48" t="s">
        <v>187</v>
      </c>
      <c r="E19" s="53">
        <v>1.2E-5</v>
      </c>
      <c r="F19" s="56" t="s">
        <v>187</v>
      </c>
      <c r="G19" s="69" t="s">
        <v>187</v>
      </c>
      <c r="H19" s="56" t="s">
        <v>187</v>
      </c>
      <c r="I19" s="69" t="s">
        <v>187</v>
      </c>
      <c r="J19" s="56" t="s">
        <v>187</v>
      </c>
      <c r="K19" s="63" t="s">
        <v>187</v>
      </c>
    </row>
    <row r="20" spans="2:11" ht="17.100000000000001" customHeight="1" x14ac:dyDescent="0.3">
      <c r="B20" s="32" t="s">
        <v>191</v>
      </c>
      <c r="C20" s="33"/>
      <c r="D20" s="48" t="s">
        <v>187</v>
      </c>
      <c r="E20" s="53">
        <v>3.1999999999999999E-5</v>
      </c>
      <c r="F20" s="56" t="s">
        <v>187</v>
      </c>
      <c r="G20" s="69" t="s">
        <v>187</v>
      </c>
      <c r="H20" s="56" t="s">
        <v>187</v>
      </c>
      <c r="I20" s="69" t="s">
        <v>187</v>
      </c>
      <c r="J20" s="56" t="s">
        <v>187</v>
      </c>
      <c r="K20" s="63" t="s">
        <v>187</v>
      </c>
    </row>
    <row r="21" spans="2:11" ht="17.100000000000001" customHeight="1" x14ac:dyDescent="0.3">
      <c r="B21" s="32" t="s">
        <v>118</v>
      </c>
      <c r="C21" s="34"/>
      <c r="D21" s="48" t="s">
        <v>187</v>
      </c>
      <c r="E21" s="53"/>
      <c r="F21" s="56">
        <f>'PTE INPUTS'!C70</f>
        <v>0.68</v>
      </c>
      <c r="G21" s="56">
        <f>'PTE INPUTS'!C88</f>
        <v>3.8</v>
      </c>
      <c r="H21" s="118">
        <v>8.9599999999999999E-4</v>
      </c>
      <c r="I21" s="54">
        <v>9.0200000000000002E-4</v>
      </c>
      <c r="J21" s="73"/>
      <c r="K21" s="117"/>
    </row>
    <row r="22" spans="2:11" ht="17.100000000000001" customHeight="1" x14ac:dyDescent="0.3">
      <c r="B22" s="32" t="s">
        <v>192</v>
      </c>
      <c r="C22" s="33"/>
      <c r="D22" s="48" t="s">
        <v>187</v>
      </c>
      <c r="E22" s="53">
        <v>1.3E-6</v>
      </c>
      <c r="F22" s="56" t="s">
        <v>187</v>
      </c>
      <c r="G22" s="69" t="s">
        <v>187</v>
      </c>
      <c r="H22" s="56" t="s">
        <v>187</v>
      </c>
      <c r="I22" s="69" t="s">
        <v>187</v>
      </c>
      <c r="J22" s="56" t="s">
        <v>187</v>
      </c>
      <c r="K22" s="63" t="s">
        <v>187</v>
      </c>
    </row>
    <row r="23" spans="2:11" ht="17.100000000000001" customHeight="1" x14ac:dyDescent="0.3">
      <c r="B23" s="32" t="s">
        <v>193</v>
      </c>
      <c r="C23" s="34"/>
      <c r="D23" s="48" t="s">
        <v>187</v>
      </c>
      <c r="E23" s="53">
        <v>2.2000000000000001E-6</v>
      </c>
      <c r="F23" s="56" t="s">
        <v>187</v>
      </c>
      <c r="G23" s="69" t="s">
        <v>187</v>
      </c>
      <c r="H23" s="56" t="s">
        <v>187</v>
      </c>
      <c r="I23" s="69" t="s">
        <v>187</v>
      </c>
      <c r="J23" s="56" t="s">
        <v>187</v>
      </c>
      <c r="K23" s="63" t="s">
        <v>187</v>
      </c>
    </row>
    <row r="24" spans="2:11" ht="17.100000000000001" customHeight="1" x14ac:dyDescent="0.3">
      <c r="B24" s="32" t="s">
        <v>194</v>
      </c>
      <c r="C24" s="34"/>
      <c r="D24" s="47" t="s">
        <v>187</v>
      </c>
      <c r="E24" s="53">
        <v>2.9E-5</v>
      </c>
      <c r="F24" s="56" t="s">
        <v>187</v>
      </c>
      <c r="G24" s="69" t="s">
        <v>187</v>
      </c>
      <c r="H24" s="56" t="s">
        <v>187</v>
      </c>
      <c r="I24" s="69" t="s">
        <v>187</v>
      </c>
      <c r="J24" s="56" t="s">
        <v>187</v>
      </c>
      <c r="K24" s="63" t="s">
        <v>187</v>
      </c>
    </row>
    <row r="25" spans="2:11" ht="17.100000000000001" customHeight="1" x14ac:dyDescent="0.3">
      <c r="B25" s="32" t="s">
        <v>195</v>
      </c>
      <c r="C25" s="34"/>
      <c r="D25" s="48" t="s">
        <v>187</v>
      </c>
      <c r="E25" s="53">
        <v>1.2999999999999999E-4</v>
      </c>
      <c r="F25" s="56" t="s">
        <v>187</v>
      </c>
      <c r="G25" s="69" t="s">
        <v>187</v>
      </c>
      <c r="H25" s="56" t="s">
        <v>187</v>
      </c>
      <c r="I25" s="69" t="s">
        <v>187</v>
      </c>
      <c r="J25" s="56" t="s">
        <v>187</v>
      </c>
      <c r="K25" s="63" t="s">
        <v>187</v>
      </c>
    </row>
    <row r="26" spans="2:11" ht="17.100000000000001" customHeight="1" x14ac:dyDescent="0.3">
      <c r="B26" s="32" t="s">
        <v>196</v>
      </c>
      <c r="C26" s="34"/>
      <c r="D26" s="48" t="s">
        <v>187</v>
      </c>
      <c r="E26" s="53">
        <v>6.3999999999999997E-5</v>
      </c>
      <c r="F26" s="56" t="s">
        <v>187</v>
      </c>
      <c r="G26" s="69" t="s">
        <v>187</v>
      </c>
      <c r="H26" s="56" t="s">
        <v>187</v>
      </c>
      <c r="I26" s="69" t="s">
        <v>187</v>
      </c>
      <c r="J26" s="56" t="s">
        <v>187</v>
      </c>
      <c r="K26" s="63" t="s">
        <v>187</v>
      </c>
    </row>
    <row r="27" spans="2:11" ht="17.100000000000001" hidden="1" customHeight="1" x14ac:dyDescent="0.3">
      <c r="B27" s="32" t="s">
        <v>197</v>
      </c>
      <c r="C27" s="34"/>
      <c r="D27" s="57" t="s">
        <v>187</v>
      </c>
      <c r="E27" s="54">
        <v>8.6E-3</v>
      </c>
      <c r="F27" s="56" t="s">
        <v>187</v>
      </c>
      <c r="G27" s="69" t="s">
        <v>187</v>
      </c>
      <c r="H27" s="56"/>
      <c r="I27" s="69"/>
      <c r="J27" s="56"/>
      <c r="K27" s="63" t="s">
        <v>187</v>
      </c>
    </row>
    <row r="28" spans="2:11" ht="17.100000000000001" customHeight="1" x14ac:dyDescent="0.3">
      <c r="B28" s="31" t="s">
        <v>198</v>
      </c>
      <c r="C28" s="33"/>
      <c r="D28" s="74" t="s">
        <v>187</v>
      </c>
      <c r="E28" s="75" t="s">
        <v>187</v>
      </c>
      <c r="F28" s="56">
        <v>2.0000000000000001E-4</v>
      </c>
      <c r="G28" s="69">
        <v>2.9999999999999997E-4</v>
      </c>
      <c r="H28" s="56" t="s">
        <v>187</v>
      </c>
      <c r="I28" s="69" t="s">
        <v>187</v>
      </c>
      <c r="J28" s="56" t="s">
        <v>187</v>
      </c>
      <c r="K28" s="71" t="s">
        <v>187</v>
      </c>
    </row>
    <row r="29" spans="2:11" ht="17.100000000000001" customHeight="1" x14ac:dyDescent="0.3">
      <c r="B29" s="37" t="s">
        <v>119</v>
      </c>
      <c r="C29" s="38"/>
      <c r="D29" s="74" t="s">
        <v>187</v>
      </c>
      <c r="E29" s="75" t="s">
        <v>187</v>
      </c>
      <c r="G29" s="73"/>
      <c r="H29" s="67" t="s">
        <v>187</v>
      </c>
      <c r="I29" s="66" t="s">
        <v>187</v>
      </c>
      <c r="J29" s="67">
        <f>'PTE INPUTS'!C68</f>
        <v>28</v>
      </c>
      <c r="K29" s="70">
        <f>'PTE INPUTS'!C87</f>
        <v>83.22</v>
      </c>
    </row>
    <row r="30" spans="2:11" ht="17.100000000000001" customHeight="1" thickBot="1" x14ac:dyDescent="0.35">
      <c r="B30" s="35" t="s">
        <v>199</v>
      </c>
      <c r="C30" s="36"/>
      <c r="D30" s="58">
        <v>4.3800000000000004E-6</v>
      </c>
      <c r="E30" s="59" t="s">
        <v>187</v>
      </c>
      <c r="F30" s="60" t="s">
        <v>187</v>
      </c>
      <c r="G30" s="60" t="s">
        <v>187</v>
      </c>
      <c r="H30" s="65" t="s">
        <v>187</v>
      </c>
      <c r="I30" s="60" t="s">
        <v>187</v>
      </c>
      <c r="J30" s="65" t="s">
        <v>187</v>
      </c>
      <c r="K30" s="64" t="s">
        <v>187</v>
      </c>
    </row>
    <row r="31" spans="2:11" ht="17.100000000000001" customHeight="1" thickTop="1" x14ac:dyDescent="0.3"/>
    <row r="32" spans="2:11" ht="17.100000000000001" customHeight="1" x14ac:dyDescent="0.3"/>
    <row r="34" spans="1:10" x14ac:dyDescent="0.3">
      <c r="A34" s="10" t="s">
        <v>169</v>
      </c>
      <c r="C34" s="13"/>
    </row>
    <row r="35" spans="1:10" ht="16.2" x14ac:dyDescent="0.35">
      <c r="A35" s="78" t="s">
        <v>152</v>
      </c>
      <c r="B35" s="77" t="s">
        <v>200</v>
      </c>
    </row>
    <row r="36" spans="1:10" ht="16.2" x14ac:dyDescent="0.35">
      <c r="A36" s="78" t="s">
        <v>142</v>
      </c>
      <c r="B36" s="79" t="s">
        <v>201</v>
      </c>
    </row>
    <row r="37" spans="1:10" ht="16.2" x14ac:dyDescent="0.35">
      <c r="A37" s="78"/>
      <c r="B37" s="79" t="s">
        <v>202</v>
      </c>
    </row>
    <row r="38" spans="1:10" ht="16.2" x14ac:dyDescent="0.35">
      <c r="A38" s="78" t="s">
        <v>150</v>
      </c>
      <c r="B38" s="79" t="s">
        <v>203</v>
      </c>
    </row>
    <row r="39" spans="1:10" ht="16.2" x14ac:dyDescent="0.35">
      <c r="A39" s="78"/>
      <c r="B39" s="79" t="s">
        <v>204</v>
      </c>
    </row>
    <row r="40" spans="1:10" ht="15" customHeight="1" x14ac:dyDescent="0.35">
      <c r="A40" s="78" t="s">
        <v>155</v>
      </c>
      <c r="B40" s="79" t="s">
        <v>205</v>
      </c>
      <c r="G40" s="1"/>
      <c r="H40" s="1"/>
      <c r="I40" s="1"/>
      <c r="J40" s="1"/>
    </row>
    <row r="41" spans="1:10" ht="15" customHeight="1" x14ac:dyDescent="0.35">
      <c r="A41" s="78" t="s">
        <v>175</v>
      </c>
      <c r="B41" s="79" t="s">
        <v>206</v>
      </c>
      <c r="G41" s="1"/>
      <c r="H41" s="1"/>
      <c r="I41" s="1"/>
      <c r="J41" s="1"/>
    </row>
    <row r="42" spans="1:10" ht="15" customHeight="1" x14ac:dyDescent="0.35">
      <c r="A42" s="78" t="s">
        <v>184</v>
      </c>
      <c r="B42" s="79" t="s">
        <v>207</v>
      </c>
      <c r="G42" s="1"/>
      <c r="H42" s="1"/>
      <c r="I42" s="1"/>
      <c r="J42" s="1"/>
    </row>
    <row r="43" spans="1:10" ht="15" customHeight="1" x14ac:dyDescent="0.35">
      <c r="A43" s="78" t="s">
        <v>185</v>
      </c>
      <c r="B43" s="79" t="s">
        <v>208</v>
      </c>
      <c r="G43" s="1"/>
      <c r="H43" s="1"/>
      <c r="I43" s="1"/>
      <c r="J43" s="1"/>
    </row>
  </sheetData>
  <mergeCells count="2">
    <mergeCell ref="D12:K12"/>
    <mergeCell ref="D13:K13"/>
  </mergeCells>
  <phoneticPr fontId="0" type="noConversion"/>
  <printOptions horizontalCentered="1" gridLinesSet="0"/>
  <pageMargins left="0.22900000000000001" right="6.9000000000000006E-2" top="0.5" bottom="0.5" header="0.5" footer="0.15"/>
  <pageSetup scale="71" orientation="portrait" r:id="rId1"/>
  <headerFooter alignWithMargins="0">
    <oddFooter>&amp;L&amp;F&amp;C&amp;P-1 of &amp;N-1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IC50"/>
  <sheetViews>
    <sheetView showGridLines="0" view="pageBreakPreview" topLeftCell="A30" zoomScale="60" zoomScaleNormal="100" workbookViewId="0">
      <selection activeCell="C40" sqref="C40:E40"/>
    </sheetView>
  </sheetViews>
  <sheetFormatPr defaultColWidth="8.81640625" defaultRowHeight="15.6" x14ac:dyDescent="0.3"/>
  <cols>
    <col min="2" max="2" width="8.81640625" customWidth="1"/>
    <col min="3" max="3" width="11.81640625" customWidth="1"/>
    <col min="4" max="4" width="10.81640625" customWidth="1"/>
    <col min="5" max="5" width="13.6328125" customWidth="1"/>
    <col min="6" max="6" width="13.1796875" customWidth="1"/>
    <col min="7" max="7" width="11.81640625" customWidth="1"/>
    <col min="8" max="8" width="5.81640625" customWidth="1"/>
    <col min="9" max="9" width="16.26953125" customWidth="1"/>
    <col min="10" max="10" width="11.81640625" customWidth="1"/>
    <col min="11" max="11" width="9.36328125" customWidth="1"/>
    <col min="12" max="12" width="15.6328125" customWidth="1"/>
    <col min="13" max="13" width="12.81640625" customWidth="1"/>
    <col min="14" max="14" width="5.81640625" customWidth="1"/>
    <col min="15" max="15" width="35.90625" customWidth="1"/>
    <col min="20" max="20" width="8.81640625" customWidth="1"/>
  </cols>
  <sheetData>
    <row r="1" spans="1:120" ht="18" x14ac:dyDescent="0.35">
      <c r="A1" s="25" t="s">
        <v>0</v>
      </c>
      <c r="B1" s="6"/>
      <c r="C1" s="26"/>
      <c r="D1" s="26"/>
      <c r="E1" s="26"/>
      <c r="F1" s="26"/>
      <c r="G1" s="26"/>
      <c r="H1" s="26"/>
      <c r="I1" s="26"/>
      <c r="J1" s="26"/>
      <c r="K1" s="26"/>
      <c r="L1" s="26"/>
      <c r="M1" s="6"/>
      <c r="N1" s="6"/>
      <c r="O1" s="6"/>
    </row>
    <row r="2" spans="1:120" ht="23.4" x14ac:dyDescent="0.45">
      <c r="A2" s="220" t="s">
        <v>1</v>
      </c>
      <c r="B2" s="221"/>
      <c r="C2" s="220"/>
      <c r="D2" s="220"/>
      <c r="E2" s="220"/>
      <c r="F2" s="220"/>
      <c r="G2" s="220"/>
      <c r="H2" s="220"/>
      <c r="I2" s="220"/>
      <c r="J2" s="220"/>
      <c r="K2" s="220"/>
      <c r="L2" s="220"/>
      <c r="M2" s="221"/>
      <c r="N2" s="221"/>
      <c r="O2" s="221"/>
    </row>
    <row r="3" spans="1:120" ht="23.4" x14ac:dyDescent="0.45">
      <c r="A3" s="220" t="str">
        <f>('PTE INPUTS'!C152)</f>
        <v>PTE CALCULATIONS EMISSIONS SUMMARY</v>
      </c>
      <c r="B3" s="221"/>
      <c r="C3" s="220"/>
      <c r="D3" s="220"/>
      <c r="E3" s="220"/>
      <c r="F3" s="220"/>
      <c r="G3" s="220"/>
      <c r="H3" s="220"/>
      <c r="I3" s="220"/>
      <c r="J3" s="220"/>
      <c r="K3" s="220"/>
      <c r="L3" s="220"/>
      <c r="M3" s="221"/>
      <c r="N3" s="221"/>
      <c r="O3" s="221"/>
    </row>
    <row r="4" spans="1:120" ht="6" customHeight="1" x14ac:dyDescent="0.45">
      <c r="A4" s="213"/>
      <c r="B4" s="214"/>
      <c r="C4" s="214"/>
      <c r="D4" s="214"/>
      <c r="E4" s="214"/>
      <c r="F4" s="213"/>
      <c r="G4" s="213"/>
      <c r="H4" s="213"/>
      <c r="I4" s="214"/>
      <c r="J4" s="214"/>
      <c r="K4" s="214"/>
      <c r="L4" s="214"/>
      <c r="M4" s="214"/>
      <c r="N4" s="214"/>
      <c r="O4" s="214"/>
    </row>
    <row r="5" spans="1:120" ht="23.4" x14ac:dyDescent="0.45">
      <c r="A5" s="220" t="s">
        <v>135</v>
      </c>
      <c r="B5" s="221"/>
      <c r="C5" s="222"/>
      <c r="D5" s="222"/>
      <c r="E5" s="223"/>
      <c r="F5" s="222"/>
      <c r="G5" s="222"/>
      <c r="H5" s="222"/>
      <c r="I5" s="222"/>
      <c r="J5" s="222"/>
      <c r="K5" s="222"/>
      <c r="L5" s="222"/>
      <c r="M5" s="221"/>
      <c r="N5" s="221"/>
      <c r="O5" s="221"/>
    </row>
    <row r="6" spans="1:120" ht="9" customHeight="1" x14ac:dyDescent="0.45">
      <c r="A6" s="213"/>
      <c r="B6" s="214"/>
      <c r="C6" s="214"/>
      <c r="D6" s="214"/>
      <c r="E6" s="214"/>
      <c r="F6" s="214"/>
      <c r="G6" s="214"/>
      <c r="H6" s="214"/>
      <c r="I6" s="214"/>
      <c r="J6" s="214"/>
      <c r="K6" s="214"/>
      <c r="L6" s="214"/>
      <c r="M6" s="214"/>
      <c r="N6" s="214"/>
      <c r="O6" s="214"/>
    </row>
    <row r="7" spans="1:120" ht="19.5" customHeight="1" thickBot="1" x14ac:dyDescent="0.5">
      <c r="A7" s="220" t="s">
        <v>136</v>
      </c>
      <c r="B7" s="221"/>
      <c r="C7" s="221"/>
      <c r="D7" s="221"/>
      <c r="E7" s="221"/>
      <c r="F7" s="221"/>
      <c r="G7" s="221"/>
      <c r="H7" s="221"/>
      <c r="I7" s="221"/>
      <c r="J7" s="221"/>
      <c r="K7" s="221"/>
      <c r="L7" s="221"/>
      <c r="M7" s="221"/>
      <c r="N7" s="221"/>
      <c r="O7" s="221"/>
    </row>
    <row r="8" spans="1:120" ht="25.5" customHeight="1" thickTop="1" thickBot="1" x14ac:dyDescent="0.5">
      <c r="A8" s="224"/>
      <c r="B8" s="225"/>
      <c r="C8" s="596" t="s">
        <v>137</v>
      </c>
      <c r="D8" s="597"/>
      <c r="E8" s="598"/>
      <c r="F8" s="596" t="s">
        <v>125</v>
      </c>
      <c r="G8" s="599"/>
      <c r="H8" s="599"/>
      <c r="I8" s="596" t="s">
        <v>126</v>
      </c>
      <c r="J8" s="599"/>
      <c r="K8" s="600"/>
      <c r="L8" s="214"/>
      <c r="M8" s="214"/>
      <c r="N8" s="214"/>
      <c r="O8" s="214"/>
    </row>
    <row r="9" spans="1:120" ht="24.6" thickTop="1" thickBot="1" x14ac:dyDescent="0.5">
      <c r="A9" s="226" t="s">
        <v>91</v>
      </c>
      <c r="B9" s="227"/>
      <c r="C9" s="228" t="s">
        <v>138</v>
      </c>
      <c r="D9" s="229"/>
      <c r="E9" s="230"/>
      <c r="F9" s="228" t="s">
        <v>139</v>
      </c>
      <c r="G9" s="229"/>
      <c r="H9" s="230"/>
      <c r="I9" s="228" t="s">
        <v>139</v>
      </c>
      <c r="J9" s="229"/>
      <c r="K9" s="231"/>
      <c r="L9" s="214"/>
      <c r="M9" s="214"/>
      <c r="N9" s="214"/>
      <c r="O9" s="214"/>
    </row>
    <row r="10" spans="1:120" ht="23.4" x14ac:dyDescent="0.45">
      <c r="A10" s="232" t="s">
        <v>140</v>
      </c>
      <c r="B10" s="233"/>
      <c r="C10" s="234">
        <f>'PTE INPUTS'!C14</f>
        <v>41</v>
      </c>
      <c r="D10" s="235" t="s">
        <v>20</v>
      </c>
      <c r="E10" s="236" t="s">
        <v>141</v>
      </c>
      <c r="F10" s="234">
        <f>'PTE INPUTS'!C56</f>
        <v>20</v>
      </c>
      <c r="G10" s="235" t="s">
        <v>20</v>
      </c>
      <c r="H10" s="236" t="s">
        <v>142</v>
      </c>
      <c r="I10" s="234">
        <f>'PTE INPUTS'!C80</f>
        <v>20</v>
      </c>
      <c r="J10" s="235" t="s">
        <v>20</v>
      </c>
      <c r="K10" s="236" t="s">
        <v>142</v>
      </c>
      <c r="L10" s="214"/>
      <c r="M10" s="214"/>
      <c r="N10" s="214"/>
      <c r="O10" s="214"/>
    </row>
    <row r="11" spans="1:120" s="49" customFormat="1" ht="23.4" x14ac:dyDescent="0.45">
      <c r="A11" s="237" t="s">
        <v>143</v>
      </c>
      <c r="B11" s="238"/>
      <c r="C11" s="239">
        <f>'PTE INPUTS'!C26</f>
        <v>57</v>
      </c>
      <c r="D11" s="240" t="s">
        <v>20</v>
      </c>
      <c r="E11" s="236" t="s">
        <v>141</v>
      </c>
      <c r="F11" s="239">
        <f>'PTE INPUTS'!C58</f>
        <v>48</v>
      </c>
      <c r="G11" s="240" t="s">
        <v>20</v>
      </c>
      <c r="H11" s="236" t="s">
        <v>142</v>
      </c>
      <c r="I11" s="239">
        <f>'PTE INPUTS'!C82</f>
        <v>48</v>
      </c>
      <c r="J11" s="240" t="s">
        <v>20</v>
      </c>
      <c r="K11" s="236" t="s">
        <v>142</v>
      </c>
      <c r="L11" s="241"/>
      <c r="M11" s="241"/>
      <c r="N11" s="241"/>
      <c r="O11" s="241"/>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row>
    <row r="12" spans="1:120" s="49" customFormat="1" ht="27" x14ac:dyDescent="0.6">
      <c r="A12" s="237" t="s">
        <v>144</v>
      </c>
      <c r="B12" s="238"/>
      <c r="C12" s="239">
        <f>'PTE INPUTS'!C16</f>
        <v>0.3</v>
      </c>
      <c r="D12" s="240" t="s">
        <v>20</v>
      </c>
      <c r="E12" s="236" t="s">
        <v>141</v>
      </c>
      <c r="F12" s="242">
        <f>'PTE INPUTS'!C60</f>
        <v>5.7</v>
      </c>
      <c r="G12" s="240" t="s">
        <v>20</v>
      </c>
      <c r="H12" s="236" t="s">
        <v>142</v>
      </c>
      <c r="I12" s="243">
        <f>'PTE INPUTS'!C84</f>
        <v>5.7</v>
      </c>
      <c r="J12" s="240" t="s">
        <v>20</v>
      </c>
      <c r="K12" s="236" t="s">
        <v>142</v>
      </c>
      <c r="L12" s="241"/>
      <c r="M12" s="241"/>
      <c r="N12" s="241"/>
      <c r="O12" s="241"/>
    </row>
    <row r="13" spans="1:120" s="49" customFormat="1" ht="23.4" x14ac:dyDescent="0.45">
      <c r="A13" s="237" t="s">
        <v>145</v>
      </c>
      <c r="B13" s="238"/>
      <c r="C13" s="239">
        <f>'PTE INPUTS'!C20</f>
        <v>6.6</v>
      </c>
      <c r="D13" s="240" t="s">
        <v>20</v>
      </c>
      <c r="E13" s="236" t="s">
        <v>141</v>
      </c>
      <c r="F13" s="242">
        <f>'PTE INPUTS'!C62</f>
        <v>19</v>
      </c>
      <c r="G13" s="240" t="s">
        <v>20</v>
      </c>
      <c r="H13" s="236" t="s">
        <v>142</v>
      </c>
      <c r="I13" s="242">
        <f>'PTE INPUTS'!C86</f>
        <v>19</v>
      </c>
      <c r="J13" s="240" t="s">
        <v>20</v>
      </c>
      <c r="K13" s="236" t="s">
        <v>142</v>
      </c>
      <c r="L13" s="241"/>
      <c r="M13" s="241"/>
      <c r="N13" s="241"/>
      <c r="O13" s="241"/>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row>
    <row r="14" spans="1:120" s="49" customFormat="1" ht="27" x14ac:dyDescent="0.6">
      <c r="A14" s="237" t="s">
        <v>146</v>
      </c>
      <c r="B14" s="238"/>
      <c r="C14" s="239">
        <f>'PTE INPUTS'!C20</f>
        <v>6.6</v>
      </c>
      <c r="D14" s="240" t="s">
        <v>20</v>
      </c>
      <c r="E14" s="236" t="s">
        <v>141</v>
      </c>
      <c r="F14" s="242">
        <f>'PTE INPUTS'!C62</f>
        <v>19</v>
      </c>
      <c r="G14" s="240" t="s">
        <v>20</v>
      </c>
      <c r="H14" s="236" t="s">
        <v>142</v>
      </c>
      <c r="I14" s="242">
        <f>'PTE INPUTS'!C86</f>
        <v>19</v>
      </c>
      <c r="J14" s="240" t="s">
        <v>20</v>
      </c>
      <c r="K14" s="236" t="s">
        <v>142</v>
      </c>
      <c r="L14" s="241"/>
      <c r="M14" s="241"/>
      <c r="N14" s="241"/>
      <c r="O14" s="241"/>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row>
    <row r="15" spans="1:120" s="49" customFormat="1" ht="27" x14ac:dyDescent="0.6">
      <c r="A15" s="237" t="s">
        <v>147</v>
      </c>
      <c r="B15" s="238"/>
      <c r="C15" s="239">
        <f>C14</f>
        <v>6.6</v>
      </c>
      <c r="D15" s="240" t="s">
        <v>20</v>
      </c>
      <c r="E15" s="236"/>
      <c r="F15" s="242">
        <f>F14</f>
        <v>19</v>
      </c>
      <c r="G15" s="240" t="s">
        <v>20</v>
      </c>
      <c r="H15" s="236"/>
      <c r="I15" s="242">
        <f>F15</f>
        <v>19</v>
      </c>
      <c r="J15" s="240" t="s">
        <v>20</v>
      </c>
      <c r="K15" s="236"/>
      <c r="L15" s="241"/>
      <c r="M15" s="241"/>
      <c r="N15" s="241"/>
      <c r="O15" s="241"/>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row>
    <row r="16" spans="1:120" s="49" customFormat="1" ht="27" x14ac:dyDescent="0.6">
      <c r="A16" s="237" t="s">
        <v>148</v>
      </c>
      <c r="B16" s="238"/>
      <c r="C16" s="244">
        <f>'PTE INPUTS'!C22</f>
        <v>4.7000000000000002E-3</v>
      </c>
      <c r="D16" s="245" t="s">
        <v>28</v>
      </c>
      <c r="E16" s="236" t="s">
        <v>149</v>
      </c>
      <c r="F16" s="241">
        <f>'PTE INPUTS'!C72</f>
        <v>2.1000000000000001E-2</v>
      </c>
      <c r="G16" s="245" t="s">
        <v>28</v>
      </c>
      <c r="H16" s="236" t="s">
        <v>150</v>
      </c>
      <c r="I16" s="241">
        <f>'PTE INPUTS'!C96</f>
        <v>2.3E-2</v>
      </c>
      <c r="J16" s="245" t="s">
        <v>28</v>
      </c>
      <c r="K16" s="236" t="s">
        <v>150</v>
      </c>
      <c r="L16" s="241"/>
      <c r="M16" s="241"/>
      <c r="N16" s="241"/>
      <c r="O16" s="241"/>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row>
    <row r="17" spans="1:234" s="49" customFormat="1" ht="27" x14ac:dyDescent="0.6">
      <c r="A17" s="246" t="s">
        <v>151</v>
      </c>
      <c r="B17" s="247"/>
      <c r="C17" s="244">
        <v>2E-3</v>
      </c>
      <c r="D17" s="245" t="s">
        <v>28</v>
      </c>
      <c r="E17" s="236" t="s">
        <v>152</v>
      </c>
      <c r="F17" s="244">
        <v>2E-3</v>
      </c>
      <c r="G17" s="245" t="s">
        <v>28</v>
      </c>
      <c r="H17" s="236" t="s">
        <v>152</v>
      </c>
      <c r="I17" s="244">
        <v>2E-3</v>
      </c>
      <c r="J17" s="245" t="s">
        <v>28</v>
      </c>
      <c r="K17" s="236" t="s">
        <v>152</v>
      </c>
      <c r="L17" s="241"/>
      <c r="M17" s="241"/>
      <c r="N17" s="241"/>
      <c r="O17" s="241"/>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row>
    <row r="18" spans="1:234" s="49" customFormat="1" ht="27" x14ac:dyDescent="0.6">
      <c r="A18" s="246" t="s">
        <v>153</v>
      </c>
      <c r="B18" s="247"/>
      <c r="C18" s="244">
        <v>2.0000000000000001E-4</v>
      </c>
      <c r="D18" s="245" t="s">
        <v>28</v>
      </c>
      <c r="E18" s="236" t="s">
        <v>152</v>
      </c>
      <c r="F18" s="244">
        <v>2.0000000000000001E-4</v>
      </c>
      <c r="G18" s="245" t="s">
        <v>28</v>
      </c>
      <c r="H18" s="236" t="s">
        <v>152</v>
      </c>
      <c r="I18" s="244">
        <v>2.0000000000000001E-4</v>
      </c>
      <c r="J18" s="245" t="s">
        <v>28</v>
      </c>
      <c r="K18" s="236" t="s">
        <v>152</v>
      </c>
      <c r="L18" s="241"/>
      <c r="M18" s="241"/>
      <c r="N18" s="241"/>
      <c r="O18" s="241"/>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row>
    <row r="19" spans="1:234" s="49" customFormat="1" ht="27" x14ac:dyDescent="0.6">
      <c r="A19" s="246" t="s">
        <v>154</v>
      </c>
      <c r="B19" s="247"/>
      <c r="C19" s="239">
        <f>'PTE INPUTS'!C18</f>
        <v>110</v>
      </c>
      <c r="D19" s="245" t="s">
        <v>28</v>
      </c>
      <c r="E19" s="236" t="s">
        <v>152</v>
      </c>
      <c r="F19" s="248">
        <f>'PTE INPUTS'!C66</f>
        <v>246448</v>
      </c>
      <c r="G19" s="240" t="s">
        <v>20</v>
      </c>
      <c r="H19" s="236" t="s">
        <v>155</v>
      </c>
      <c r="I19" s="248">
        <f>'PTE INPUTS'!C90</f>
        <v>246448</v>
      </c>
      <c r="J19" s="240" t="s">
        <v>20</v>
      </c>
      <c r="K19" s="236" t="s">
        <v>155</v>
      </c>
      <c r="L19" s="241"/>
      <c r="M19" s="241"/>
      <c r="N19" s="241"/>
      <c r="O19" s="241"/>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row>
    <row r="20" spans="1:234" s="49" customFormat="1" ht="23.4" x14ac:dyDescent="0.45">
      <c r="A20" s="237" t="s">
        <v>156</v>
      </c>
      <c r="B20" s="238"/>
      <c r="C20" s="239">
        <f>'PTE INPUTS'!C24</f>
        <v>5</v>
      </c>
      <c r="D20" s="249" t="s">
        <v>20</v>
      </c>
      <c r="E20" s="236" t="s">
        <v>141</v>
      </c>
      <c r="F20" s="250">
        <f>'PTE INPUTS'!C64</f>
        <v>3.8</v>
      </c>
      <c r="G20" s="249" t="s">
        <v>20</v>
      </c>
      <c r="H20" s="251" t="s">
        <v>142</v>
      </c>
      <c r="I20" s="242">
        <f>'PTE INPUTS'!C88</f>
        <v>3.8</v>
      </c>
      <c r="J20" s="249" t="s">
        <v>20</v>
      </c>
      <c r="K20" s="251" t="s">
        <v>142</v>
      </c>
      <c r="L20" s="241"/>
      <c r="M20" s="241"/>
      <c r="N20" s="241"/>
      <c r="O20" s="241"/>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row>
    <row r="21" spans="1:234" s="49" customFormat="1" ht="23.4" x14ac:dyDescent="0.45">
      <c r="A21" s="246" t="s">
        <v>119</v>
      </c>
      <c r="B21" s="247"/>
      <c r="C21" s="252"/>
      <c r="D21" s="249"/>
      <c r="E21" s="253"/>
      <c r="F21" s="254">
        <f>'PTE INPUTS'!C68</f>
        <v>28</v>
      </c>
      <c r="G21" s="249" t="s">
        <v>20</v>
      </c>
      <c r="H21" s="253" t="s">
        <v>142</v>
      </c>
      <c r="I21" s="254">
        <f>'PTE INPUTS'!C92</f>
        <v>28</v>
      </c>
      <c r="J21" s="249" t="s">
        <v>20</v>
      </c>
      <c r="K21" s="253" t="s">
        <v>142</v>
      </c>
      <c r="L21" s="241"/>
      <c r="M21" s="241"/>
      <c r="N21" s="241"/>
      <c r="O21" s="241"/>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row>
    <row r="22" spans="1:234" s="49" customFormat="1" ht="27.6" thickBot="1" x14ac:dyDescent="0.65">
      <c r="A22" s="255" t="s">
        <v>157</v>
      </c>
      <c r="B22" s="256"/>
      <c r="C22" s="257"/>
      <c r="D22" s="258"/>
      <c r="E22" s="259"/>
      <c r="F22" s="260">
        <f>'PTE INPUTS'!C74</f>
        <v>0.68500000000000005</v>
      </c>
      <c r="G22" s="258" t="s">
        <v>20</v>
      </c>
      <c r="H22" s="259" t="s">
        <v>142</v>
      </c>
      <c r="I22" s="260">
        <f>'PTE INPUTS'!C98</f>
        <v>0.68500000000000005</v>
      </c>
      <c r="J22" s="258" t="s">
        <v>20</v>
      </c>
      <c r="K22" s="259" t="s">
        <v>142</v>
      </c>
      <c r="L22" s="241"/>
      <c r="M22" s="241"/>
      <c r="N22" s="241"/>
      <c r="O22" s="241"/>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row>
    <row r="23" spans="1:234" ht="24" thickTop="1" x14ac:dyDescent="0.45">
      <c r="A23" s="261" t="s">
        <v>158</v>
      </c>
      <c r="B23" s="261"/>
      <c r="C23" s="262">
        <f>Typ!B13</f>
        <v>1888580</v>
      </c>
      <c r="D23" s="262"/>
      <c r="E23" s="262"/>
      <c r="F23" s="262">
        <f>Typ!H13</f>
        <v>18343440</v>
      </c>
      <c r="G23" s="262"/>
      <c r="H23" s="262"/>
      <c r="I23" s="262">
        <f>Typ!K13</f>
        <v>18343440</v>
      </c>
      <c r="J23" s="263"/>
      <c r="K23" s="264"/>
      <c r="L23" s="264"/>
      <c r="M23" s="214"/>
      <c r="N23" s="214"/>
      <c r="O23" s="214"/>
    </row>
    <row r="24" spans="1:234" ht="23.4" x14ac:dyDescent="0.45">
      <c r="A24" s="213" t="s">
        <v>159</v>
      </c>
      <c r="B24" s="214"/>
      <c r="C24" s="265">
        <v>4450</v>
      </c>
      <c r="D24" s="265"/>
      <c r="E24" s="265"/>
      <c r="F24" s="265">
        <v>8760</v>
      </c>
      <c r="G24" s="265"/>
      <c r="H24" s="265"/>
      <c r="I24" s="265">
        <v>8760</v>
      </c>
      <c r="J24" s="214"/>
      <c r="K24" s="214"/>
      <c r="L24" s="214"/>
      <c r="M24" s="214"/>
      <c r="N24" s="214"/>
      <c r="O24" s="214"/>
    </row>
    <row r="25" spans="1:234" ht="23.4" x14ac:dyDescent="0.45">
      <c r="A25" s="213" t="s">
        <v>160</v>
      </c>
      <c r="B25" s="214"/>
      <c r="C25" s="265"/>
      <c r="D25" s="265"/>
      <c r="E25" s="265"/>
      <c r="F25" s="265"/>
      <c r="G25" s="265"/>
      <c r="H25" s="265"/>
      <c r="I25" s="265"/>
      <c r="J25" s="265"/>
      <c r="K25" s="265"/>
      <c r="L25" s="265"/>
      <c r="M25" s="214"/>
      <c r="N25" s="214"/>
      <c r="O25" s="214"/>
    </row>
    <row r="26" spans="1:234" ht="23.4" x14ac:dyDescent="0.45">
      <c r="A26" s="213"/>
      <c r="B26" s="214"/>
      <c r="C26" s="265"/>
      <c r="D26" s="265"/>
      <c r="E26" s="265"/>
      <c r="F26" s="265"/>
      <c r="G26" s="265"/>
      <c r="H26" s="265"/>
      <c r="I26" s="265"/>
      <c r="J26" s="265"/>
      <c r="K26" s="265"/>
      <c r="L26" s="265"/>
      <c r="M26" s="214"/>
      <c r="N26" s="214"/>
      <c r="O26" s="214"/>
    </row>
    <row r="27" spans="1:234" ht="24" thickBot="1" x14ac:dyDescent="0.5">
      <c r="A27" s="220" t="s">
        <v>161</v>
      </c>
      <c r="B27" s="220"/>
      <c r="C27" s="221"/>
      <c r="D27" s="221"/>
      <c r="E27" s="221"/>
      <c r="F27" s="221"/>
      <c r="G27" s="221"/>
      <c r="H27" s="221"/>
      <c r="I27" s="221"/>
      <c r="J27" s="221"/>
      <c r="K27" s="221"/>
      <c r="L27" s="221"/>
      <c r="M27" s="221"/>
      <c r="N27" s="221"/>
      <c r="O27" s="221"/>
    </row>
    <row r="28" spans="1:234" ht="24" customHeight="1" thickTop="1" thickBot="1" x14ac:dyDescent="0.5">
      <c r="A28" s="224"/>
      <c r="B28" s="225"/>
      <c r="C28" s="596" t="s">
        <v>162</v>
      </c>
      <c r="D28" s="597"/>
      <c r="E28" s="598"/>
      <c r="F28" s="596" t="s">
        <v>125</v>
      </c>
      <c r="G28" s="599"/>
      <c r="H28" s="600"/>
      <c r="I28" s="596" t="s">
        <v>126</v>
      </c>
      <c r="J28" s="599"/>
      <c r="K28" s="600"/>
      <c r="L28" s="266" t="s">
        <v>163</v>
      </c>
      <c r="M28" s="214"/>
      <c r="N28" s="214"/>
      <c r="O28" s="214"/>
    </row>
    <row r="29" spans="1:234" ht="24.6" thickTop="1" thickBot="1" x14ac:dyDescent="0.5">
      <c r="A29" s="226" t="s">
        <v>91</v>
      </c>
      <c r="B29" s="227"/>
      <c r="C29" s="228" t="s">
        <v>138</v>
      </c>
      <c r="D29" s="229"/>
      <c r="E29" s="230"/>
      <c r="F29" s="228" t="s">
        <v>139</v>
      </c>
      <c r="G29" s="228"/>
      <c r="H29" s="230"/>
      <c r="I29" s="228" t="s">
        <v>139</v>
      </c>
      <c r="J29" s="229"/>
      <c r="K29" s="229"/>
      <c r="L29" s="267" t="s">
        <v>164</v>
      </c>
      <c r="M29" s="214"/>
      <c r="N29" s="214"/>
      <c r="O29" s="214"/>
    </row>
    <row r="30" spans="1:234" ht="23.4" x14ac:dyDescent="0.45">
      <c r="A30" s="232" t="s">
        <v>140</v>
      </c>
      <c r="B30" s="233"/>
      <c r="C30" s="268">
        <f>ROUND(((C10*4000)+(71*450))/2000,0)</f>
        <v>98</v>
      </c>
      <c r="D30" s="269"/>
      <c r="E30" s="270"/>
      <c r="F30" s="268">
        <f>(F10*F24)/2000</f>
        <v>87.6</v>
      </c>
      <c r="G30" s="269"/>
      <c r="H30" s="270"/>
      <c r="I30" s="268">
        <f>(I10*I24)/2000</f>
        <v>87.6</v>
      </c>
      <c r="J30" s="269"/>
      <c r="K30" s="270"/>
      <c r="L30" s="271">
        <f t="shared" ref="L30:L42" si="0">SUM(C30:K30)</f>
        <v>273.2</v>
      </c>
      <c r="M30" s="214"/>
      <c r="N30" s="214"/>
      <c r="O30" s="214"/>
    </row>
    <row r="31" spans="1:234" ht="23.4" x14ac:dyDescent="0.45">
      <c r="A31" s="232" t="s">
        <v>143</v>
      </c>
      <c r="B31" s="233"/>
      <c r="C31" s="272">
        <f>ROUND(((C11*4000)+(6*450))/2000,0)</f>
        <v>115</v>
      </c>
      <c r="D31" s="273"/>
      <c r="E31" s="274"/>
      <c r="F31" s="275">
        <f>(F11*F24)/2000</f>
        <v>210.24</v>
      </c>
      <c r="G31" s="249"/>
      <c r="H31" s="251"/>
      <c r="I31" s="275">
        <f>(I11*I24)/2000</f>
        <v>210.24</v>
      </c>
      <c r="J31" s="249"/>
      <c r="K31" s="251"/>
      <c r="L31" s="276">
        <f t="shared" si="0"/>
        <v>535.48</v>
      </c>
      <c r="M31" s="214"/>
      <c r="N31" s="214"/>
      <c r="O31" s="214"/>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45"/>
      <c r="GS31" s="45"/>
      <c r="GT31" s="45"/>
      <c r="GU31" s="45"/>
      <c r="GV31" s="45"/>
      <c r="GW31" s="45"/>
      <c r="GX31" s="45"/>
      <c r="GY31" s="45"/>
      <c r="GZ31" s="45"/>
      <c r="HA31" s="45"/>
      <c r="HB31" s="45"/>
      <c r="HC31" s="45"/>
      <c r="HD31" s="45"/>
      <c r="HE31" s="45"/>
      <c r="HF31" s="45"/>
      <c r="HG31" s="45"/>
      <c r="HH31" s="45"/>
      <c r="HI31" s="45"/>
      <c r="HJ31" s="45"/>
      <c r="HK31" s="45"/>
      <c r="HL31" s="45"/>
      <c r="HM31" s="45"/>
      <c r="HN31" s="45"/>
      <c r="HO31" s="45"/>
      <c r="HP31" s="45"/>
      <c r="HQ31" s="45"/>
      <c r="HR31" s="45"/>
      <c r="HS31" s="45"/>
      <c r="HT31" s="45"/>
      <c r="HU31" s="45"/>
      <c r="HV31" s="45"/>
      <c r="HW31" s="45"/>
      <c r="HX31" s="45"/>
      <c r="HY31" s="45"/>
      <c r="HZ31" s="45"/>
    </row>
    <row r="32" spans="1:234" ht="27" x14ac:dyDescent="0.6">
      <c r="A32" s="232" t="s">
        <v>144</v>
      </c>
      <c r="B32" s="233"/>
      <c r="C32" s="272">
        <f>ROUND(((C12*4000)+(22.5*450))/2000,0)</f>
        <v>6</v>
      </c>
      <c r="D32" s="273"/>
      <c r="E32" s="274"/>
      <c r="F32" s="277">
        <f>(F12*F24)/2000</f>
        <v>24.966000000000001</v>
      </c>
      <c r="G32" s="249"/>
      <c r="H32" s="249"/>
      <c r="I32" s="277">
        <f>(I12*I24)/2000</f>
        <v>24.966000000000001</v>
      </c>
      <c r="J32" s="249"/>
      <c r="K32" s="249"/>
      <c r="L32" s="276">
        <f t="shared" si="0"/>
        <v>55.932000000000002</v>
      </c>
      <c r="M32" s="214"/>
      <c r="N32" s="214"/>
      <c r="O32" s="214"/>
    </row>
    <row r="33" spans="1:237" ht="23.4" x14ac:dyDescent="0.45">
      <c r="A33" s="232" t="s">
        <v>165</v>
      </c>
      <c r="B33" s="233"/>
      <c r="C33" s="272">
        <f>ROUND(((C13*4000)+(17*450))/2000,0)</f>
        <v>17</v>
      </c>
      <c r="D33" s="273"/>
      <c r="E33" s="274"/>
      <c r="F33" s="272">
        <f>'SU-SD'!E29+(F13*'SU-SD'!G20)/2000</f>
        <v>83.275379999999998</v>
      </c>
      <c r="G33" s="273"/>
      <c r="H33" s="274"/>
      <c r="I33" s="272">
        <f>'SU-SD'!E31+(I13*'SU-SD'!G20)/2000</f>
        <v>82.195859999999996</v>
      </c>
      <c r="J33" s="273"/>
      <c r="K33" s="278"/>
      <c r="L33" s="276">
        <f t="shared" si="0"/>
        <v>182.47123999999999</v>
      </c>
      <c r="M33" s="213"/>
      <c r="N33" s="214"/>
      <c r="O33" s="214"/>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45"/>
      <c r="GS33" s="45"/>
      <c r="GT33" s="45"/>
      <c r="GU33" s="45"/>
      <c r="GV33" s="45"/>
      <c r="GW33" s="45"/>
      <c r="GX33" s="45"/>
      <c r="GY33" s="45"/>
      <c r="GZ33" s="45"/>
      <c r="HA33" s="45"/>
      <c r="HB33" s="45"/>
      <c r="HC33" s="45"/>
      <c r="HD33" s="45"/>
      <c r="HE33" s="45"/>
      <c r="HF33" s="45"/>
      <c r="HG33" s="45"/>
      <c r="HH33" s="45"/>
      <c r="HI33" s="45"/>
      <c r="HJ33" s="45"/>
      <c r="HK33" s="45"/>
      <c r="HL33" s="45"/>
      <c r="HM33" s="45"/>
      <c r="HN33" s="45"/>
      <c r="HO33" s="45"/>
      <c r="HP33" s="45"/>
      <c r="HQ33" s="45"/>
      <c r="HR33" s="45"/>
      <c r="HS33" s="45"/>
      <c r="HT33" s="45"/>
      <c r="HU33" s="45"/>
      <c r="HV33" s="45"/>
      <c r="HW33" s="45"/>
      <c r="HX33" s="45"/>
      <c r="HY33" s="45"/>
      <c r="HZ33" s="45"/>
    </row>
    <row r="34" spans="1:237" ht="27" x14ac:dyDescent="0.6">
      <c r="A34" s="232" t="s">
        <v>166</v>
      </c>
      <c r="B34" s="233"/>
      <c r="C34" s="272">
        <f>ROUND(((C14*4000)+(17*450))/2000,0)</f>
        <v>17</v>
      </c>
      <c r="D34" s="273"/>
      <c r="E34" s="274"/>
      <c r="F34" s="272">
        <f>'SU-SD'!E29+(F14*'SU-SD'!G20)/2000</f>
        <v>83.275379999999998</v>
      </c>
      <c r="G34" s="273"/>
      <c r="H34" s="274"/>
      <c r="I34" s="272">
        <f>'SU-SD'!E31+(I14*'SU-SD'!G20)/2000</f>
        <v>82.195859999999996</v>
      </c>
      <c r="J34" s="273"/>
      <c r="K34" s="278"/>
      <c r="L34" s="276">
        <f t="shared" si="0"/>
        <v>182.47123999999999</v>
      </c>
      <c r="M34" s="213"/>
      <c r="N34" s="214"/>
      <c r="O34" s="214"/>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45"/>
      <c r="GS34" s="45"/>
      <c r="GT34" s="45"/>
      <c r="GU34" s="45"/>
      <c r="GV34" s="45"/>
      <c r="GW34" s="45"/>
      <c r="GX34" s="45"/>
      <c r="GY34" s="45"/>
      <c r="GZ34" s="45"/>
      <c r="HA34" s="45"/>
      <c r="HB34" s="45"/>
      <c r="HC34" s="45"/>
      <c r="HD34" s="45"/>
      <c r="HE34" s="45"/>
      <c r="HF34" s="45"/>
      <c r="HG34" s="45"/>
      <c r="HH34" s="45"/>
      <c r="HI34" s="45"/>
      <c r="HJ34" s="45"/>
      <c r="HK34" s="45"/>
      <c r="HL34" s="45"/>
      <c r="HM34" s="45"/>
      <c r="HN34" s="45"/>
      <c r="HO34" s="45"/>
      <c r="HP34" s="45"/>
      <c r="HQ34" s="45"/>
      <c r="HR34" s="45"/>
      <c r="HS34" s="45"/>
      <c r="HT34" s="45"/>
      <c r="HU34" s="45"/>
      <c r="HV34" s="45"/>
      <c r="HW34" s="45"/>
      <c r="HX34" s="45"/>
      <c r="HY34" s="45"/>
      <c r="HZ34" s="45"/>
    </row>
    <row r="35" spans="1:237" ht="27" x14ac:dyDescent="0.6">
      <c r="A35" s="279" t="s">
        <v>167</v>
      </c>
      <c r="B35" s="280"/>
      <c r="C35" s="272">
        <f>C34</f>
        <v>17</v>
      </c>
      <c r="D35" s="273"/>
      <c r="E35" s="274"/>
      <c r="F35" s="272">
        <f>'SU-SD'!E29+(F15*'SU-SD'!G20)/2000</f>
        <v>83.275379999999998</v>
      </c>
      <c r="G35" s="273"/>
      <c r="H35" s="274"/>
      <c r="I35" s="272">
        <f>'SU-SD'!E31+(I15*'SU-SD'!G20)/2000</f>
        <v>82.195859999999996</v>
      </c>
      <c r="J35" s="273"/>
      <c r="K35" s="278"/>
      <c r="L35" s="276">
        <f t="shared" si="0"/>
        <v>182.47123999999999</v>
      </c>
      <c r="M35" s="213"/>
      <c r="N35" s="214"/>
      <c r="O35" s="214"/>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row>
    <row r="36" spans="1:237" ht="27" x14ac:dyDescent="0.6">
      <c r="A36" s="246" t="s">
        <v>148</v>
      </c>
      <c r="B36" s="214"/>
      <c r="C36" s="272">
        <f>(C16*C23)/2000</f>
        <v>4.4381630000000003</v>
      </c>
      <c r="D36" s="273"/>
      <c r="E36" s="274"/>
      <c r="F36" s="272">
        <f>(F16*F23)/2000</f>
        <v>192.60612000000003</v>
      </c>
      <c r="G36" s="273"/>
      <c r="H36" s="274"/>
      <c r="I36" s="272">
        <f>(I16*I23)/2000</f>
        <v>210.94955999999999</v>
      </c>
      <c r="J36" s="273"/>
      <c r="K36" s="278"/>
      <c r="L36" s="276">
        <f t="shared" si="0"/>
        <v>407.99384300000003</v>
      </c>
      <c r="M36" s="213"/>
      <c r="N36" s="214"/>
      <c r="O36" s="214"/>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row>
    <row r="37" spans="1:237" ht="27" x14ac:dyDescent="0.6">
      <c r="A37" s="246" t="s">
        <v>151</v>
      </c>
      <c r="B37" s="247"/>
      <c r="C37" s="281">
        <f>(C17*C23)/2000</f>
        <v>1.8885799999999999</v>
      </c>
      <c r="D37" s="282"/>
      <c r="E37" s="283"/>
      <c r="F37" s="272">
        <f>(F17*F23)/2000</f>
        <v>18.343439999999998</v>
      </c>
      <c r="G37" s="273"/>
      <c r="H37" s="274"/>
      <c r="I37" s="272">
        <f>(I17*I23)/2000</f>
        <v>18.343439999999998</v>
      </c>
      <c r="J37" s="273"/>
      <c r="K37" s="278"/>
      <c r="L37" s="276">
        <f t="shared" si="0"/>
        <v>38.575459999999993</v>
      </c>
      <c r="M37" s="213"/>
      <c r="N37" s="214"/>
      <c r="O37" s="214"/>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row>
    <row r="38" spans="1:237" ht="27" x14ac:dyDescent="0.6">
      <c r="A38" s="246" t="s">
        <v>153</v>
      </c>
      <c r="B38" s="247"/>
      <c r="C38" s="281">
        <f>(C18*C23)/2000</f>
        <v>0.188858</v>
      </c>
      <c r="D38" s="282"/>
      <c r="E38" s="283"/>
      <c r="F38" s="272">
        <f>(F18*F23)/2000</f>
        <v>1.834344</v>
      </c>
      <c r="G38" s="273"/>
      <c r="H38" s="274"/>
      <c r="I38" s="272">
        <f>(I18*I23)/2000</f>
        <v>1.834344</v>
      </c>
      <c r="J38" s="273"/>
      <c r="K38" s="278"/>
      <c r="L38" s="276">
        <f t="shared" si="0"/>
        <v>3.8575460000000001</v>
      </c>
      <c r="M38" s="213"/>
      <c r="N38" s="214"/>
      <c r="O38" s="214"/>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row>
    <row r="39" spans="1:237" ht="27" x14ac:dyDescent="0.6">
      <c r="A39" s="246" t="s">
        <v>154</v>
      </c>
      <c r="B39" s="247"/>
      <c r="C39" s="284">
        <f>(C19*C23)/2000</f>
        <v>103871.9</v>
      </c>
      <c r="D39" s="285"/>
      <c r="E39" s="286"/>
      <c r="F39" s="284">
        <f>(F19*F24)/2000</f>
        <v>1079442.24</v>
      </c>
      <c r="G39" s="287"/>
      <c r="H39" s="288"/>
      <c r="I39" s="284">
        <f>(I19*I24)/2000</f>
        <v>1079442.24</v>
      </c>
      <c r="J39" s="287"/>
      <c r="K39" s="289"/>
      <c r="L39" s="290">
        <f t="shared" si="0"/>
        <v>2262756.38</v>
      </c>
      <c r="M39" s="213"/>
      <c r="N39" s="214"/>
      <c r="O39" s="214"/>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row>
    <row r="40" spans="1:237" ht="23.4" x14ac:dyDescent="0.45">
      <c r="A40" s="232" t="s">
        <v>168</v>
      </c>
      <c r="B40" s="233"/>
      <c r="C40" s="272">
        <f>ROUND(((C20*4000)+(1*450))/2000,0)</f>
        <v>10</v>
      </c>
      <c r="D40" s="273"/>
      <c r="E40" s="274"/>
      <c r="F40" s="291">
        <f>ROUND('SU-SD'!E23+(F20*'SU-SD'!G20)/2000,0)</f>
        <v>25</v>
      </c>
      <c r="G40" s="292"/>
      <c r="H40" s="293"/>
      <c r="I40" s="291">
        <f>ROUND('SU-SD'!E26+(I20*'SU-SD'!G20)/2000,0)</f>
        <v>23</v>
      </c>
      <c r="J40" s="292"/>
      <c r="K40" s="293"/>
      <c r="L40" s="276">
        <f t="shared" si="0"/>
        <v>58</v>
      </c>
      <c r="M40" s="213"/>
      <c r="N40" s="214"/>
      <c r="O40" s="214"/>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c r="GG40" s="45"/>
      <c r="GH40" s="45"/>
      <c r="GI40" s="45"/>
      <c r="GJ40" s="45"/>
      <c r="GK40" s="45"/>
      <c r="GL40" s="45"/>
      <c r="GM40" s="45"/>
      <c r="GN40" s="45"/>
      <c r="GO40" s="45"/>
      <c r="GP40" s="45"/>
      <c r="GQ40" s="45"/>
      <c r="GR40" s="45"/>
      <c r="GS40" s="45"/>
      <c r="GT40" s="45"/>
      <c r="GU40" s="45"/>
      <c r="GV40" s="45"/>
      <c r="GW40" s="45"/>
      <c r="GX40" s="45"/>
      <c r="GY40" s="45"/>
      <c r="GZ40" s="45"/>
      <c r="HA40" s="45"/>
      <c r="HB40" s="45"/>
      <c r="HC40" s="45"/>
      <c r="HD40" s="45"/>
      <c r="HE40" s="45"/>
      <c r="HF40" s="45"/>
      <c r="HG40" s="45"/>
      <c r="HH40" s="45"/>
      <c r="HI40" s="45"/>
      <c r="HJ40" s="45"/>
      <c r="HK40" s="45"/>
      <c r="HL40" s="45"/>
      <c r="HM40" s="45"/>
      <c r="HN40" s="45"/>
      <c r="HO40" s="45"/>
      <c r="HP40" s="45"/>
      <c r="HQ40" s="45"/>
      <c r="HR40" s="45"/>
      <c r="HS40" s="45"/>
      <c r="HT40" s="45"/>
      <c r="HU40" s="45"/>
      <c r="HV40" s="45"/>
      <c r="HW40" s="45"/>
      <c r="HX40" s="45"/>
      <c r="HY40" s="45"/>
      <c r="HZ40" s="45"/>
    </row>
    <row r="41" spans="1:237" ht="23.4" x14ac:dyDescent="0.45">
      <c r="A41" s="246" t="s">
        <v>119</v>
      </c>
      <c r="B41" s="247"/>
      <c r="C41" s="281"/>
      <c r="D41" s="282"/>
      <c r="E41" s="282"/>
      <c r="F41" s="291">
        <v>122.5</v>
      </c>
      <c r="G41" s="292"/>
      <c r="H41" s="293"/>
      <c r="I41" s="291">
        <v>122.5</v>
      </c>
      <c r="J41" s="292"/>
      <c r="K41" s="293"/>
      <c r="L41" s="290">
        <f t="shared" si="0"/>
        <v>245</v>
      </c>
      <c r="M41" s="213"/>
      <c r="N41" s="214"/>
      <c r="O41" s="214"/>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5"/>
      <c r="HJ41" s="45"/>
      <c r="HK41" s="45"/>
      <c r="HL41" s="45"/>
      <c r="HM41" s="45"/>
      <c r="HN41" s="45"/>
      <c r="HO41" s="45"/>
      <c r="HP41" s="45"/>
      <c r="HQ41" s="45"/>
      <c r="HR41" s="45"/>
      <c r="HS41" s="45"/>
      <c r="HT41" s="45"/>
      <c r="HU41" s="45"/>
      <c r="HV41" s="45"/>
      <c r="HW41" s="45"/>
      <c r="HX41" s="45"/>
      <c r="HY41" s="45"/>
      <c r="HZ41" s="45"/>
    </row>
    <row r="42" spans="1:237" ht="27.6" thickBot="1" x14ac:dyDescent="0.65">
      <c r="A42" s="255" t="s">
        <v>157</v>
      </c>
      <c r="B42" s="256"/>
      <c r="C42" s="294"/>
      <c r="D42" s="295"/>
      <c r="E42" s="295"/>
      <c r="F42" s="296">
        <f>(F22*F24)/2000</f>
        <v>3.0003000000000002</v>
      </c>
      <c r="G42" s="297"/>
      <c r="H42" s="298"/>
      <c r="I42" s="296">
        <f>(I22*I24)/2000</f>
        <v>3.0003000000000002</v>
      </c>
      <c r="J42" s="297"/>
      <c r="K42" s="298"/>
      <c r="L42" s="299">
        <f t="shared" si="0"/>
        <v>6.0006000000000004</v>
      </c>
      <c r="M42" s="213"/>
      <c r="N42" s="214"/>
      <c r="O42" s="214"/>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c r="FS42" s="45"/>
      <c r="FT42" s="45"/>
      <c r="FU42" s="45"/>
      <c r="FV42" s="45"/>
      <c r="FW42" s="45"/>
      <c r="FX42" s="45"/>
      <c r="FY42" s="45"/>
      <c r="FZ42" s="45"/>
      <c r="GA42" s="45"/>
      <c r="GB42" s="45"/>
      <c r="GC42" s="45"/>
      <c r="GD42" s="45"/>
      <c r="GE42" s="45"/>
      <c r="GF42" s="45"/>
      <c r="GG42" s="45"/>
      <c r="GH42" s="45"/>
      <c r="GI42" s="45"/>
      <c r="GJ42" s="45"/>
      <c r="GK42" s="45"/>
      <c r="GL42" s="45"/>
      <c r="GM42" s="45"/>
      <c r="GN42" s="45"/>
      <c r="GO42" s="45"/>
      <c r="GP42" s="45"/>
      <c r="GQ42" s="45"/>
      <c r="GR42" s="45"/>
      <c r="GS42" s="45"/>
      <c r="GT42" s="45"/>
      <c r="GU42" s="45"/>
      <c r="GV42" s="45"/>
      <c r="GW42" s="45"/>
      <c r="GX42" s="45"/>
      <c r="GY42" s="45"/>
      <c r="GZ42" s="45"/>
      <c r="HA42" s="45"/>
      <c r="HB42" s="45"/>
      <c r="HC42" s="45"/>
      <c r="HD42" s="45"/>
      <c r="HE42" s="45"/>
      <c r="HF42" s="45"/>
      <c r="HG42" s="45"/>
      <c r="HH42" s="45"/>
      <c r="HI42" s="45"/>
      <c r="HJ42" s="45"/>
      <c r="HK42" s="45"/>
      <c r="HL42" s="45"/>
      <c r="HM42" s="45"/>
      <c r="HN42" s="45"/>
      <c r="HO42" s="45"/>
      <c r="HP42" s="45"/>
      <c r="HQ42" s="45"/>
      <c r="HR42" s="45"/>
      <c r="HS42" s="45"/>
      <c r="HT42" s="45"/>
      <c r="HU42" s="45"/>
      <c r="HV42" s="45"/>
      <c r="HW42" s="45"/>
      <c r="HX42" s="45"/>
      <c r="HY42" s="45"/>
      <c r="HZ42" s="45"/>
    </row>
    <row r="43" spans="1:237" ht="24" thickTop="1" x14ac:dyDescent="0.45">
      <c r="A43" s="220"/>
      <c r="B43" s="220"/>
      <c r="C43" s="300"/>
      <c r="D43" s="300"/>
      <c r="E43" s="300"/>
      <c r="F43" s="300"/>
      <c r="G43" s="300"/>
      <c r="H43" s="300"/>
      <c r="I43" s="300"/>
      <c r="J43" s="300"/>
      <c r="K43" s="300"/>
      <c r="L43" s="300"/>
      <c r="M43" s="300"/>
      <c r="N43" s="300"/>
      <c r="O43" s="301"/>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c r="GW43" s="45"/>
      <c r="GX43" s="45"/>
      <c r="GY43" s="45"/>
      <c r="GZ43" s="45"/>
      <c r="HA43" s="45"/>
      <c r="HB43" s="45"/>
      <c r="HC43" s="45"/>
      <c r="HD43" s="45"/>
      <c r="HE43" s="45"/>
      <c r="HF43" s="45"/>
      <c r="HG43" s="45"/>
      <c r="HH43" s="45"/>
      <c r="HI43" s="45"/>
      <c r="HJ43" s="45"/>
      <c r="HK43" s="45"/>
      <c r="HL43" s="45"/>
      <c r="HM43" s="45"/>
      <c r="HN43" s="45"/>
      <c r="HO43" s="45"/>
      <c r="HP43" s="45"/>
      <c r="HQ43" s="45"/>
      <c r="HR43" s="45"/>
      <c r="HS43" s="45"/>
      <c r="HT43" s="45"/>
      <c r="HU43" s="45"/>
      <c r="HV43" s="45"/>
      <c r="HW43" s="45"/>
      <c r="HX43" s="45"/>
      <c r="HY43" s="45"/>
      <c r="HZ43" s="45"/>
      <c r="IA43" s="45"/>
      <c r="IB43" s="45"/>
      <c r="IC43" s="45"/>
    </row>
    <row r="44" spans="1:237" ht="23.4" x14ac:dyDescent="0.45">
      <c r="A44" s="302" t="s">
        <v>169</v>
      </c>
      <c r="B44" s="214"/>
      <c r="C44" s="214"/>
      <c r="D44" s="214"/>
      <c r="E44" s="214"/>
      <c r="F44" s="214"/>
      <c r="G44" s="214"/>
      <c r="H44" s="214"/>
      <c r="I44" s="214"/>
      <c r="J44" s="214"/>
      <c r="K44" s="214"/>
      <c r="L44" s="214"/>
      <c r="M44" s="214"/>
      <c r="N44" s="214"/>
      <c r="O44" s="214"/>
    </row>
    <row r="45" spans="1:237" s="50" customFormat="1" ht="23.4" x14ac:dyDescent="0.45">
      <c r="A45" s="303" t="s">
        <v>149</v>
      </c>
      <c r="B45" s="304" t="s">
        <v>170</v>
      </c>
      <c r="C45" s="305"/>
      <c r="D45" s="304"/>
      <c r="E45" s="304"/>
      <c r="F45" s="304"/>
      <c r="G45" s="304"/>
      <c r="H45" s="304"/>
      <c r="I45" s="304"/>
      <c r="J45" s="304"/>
      <c r="K45" s="304"/>
      <c r="L45" s="304"/>
      <c r="M45" s="304"/>
      <c r="N45" s="304"/>
      <c r="O45" s="304"/>
    </row>
    <row r="46" spans="1:237" ht="23.4" x14ac:dyDescent="0.45">
      <c r="A46" s="303" t="s">
        <v>152</v>
      </c>
      <c r="B46" s="304" t="s">
        <v>171</v>
      </c>
      <c r="C46" s="214"/>
      <c r="D46" s="214"/>
      <c r="E46" s="214"/>
      <c r="F46" s="214"/>
      <c r="G46" s="214"/>
      <c r="H46" s="214"/>
      <c r="I46" s="214"/>
      <c r="J46" s="214"/>
      <c r="K46" s="214"/>
      <c r="L46" s="214"/>
      <c r="M46" s="214"/>
      <c r="N46" s="214"/>
      <c r="O46" s="214"/>
    </row>
    <row r="47" spans="1:237" ht="23.4" x14ac:dyDescent="0.45">
      <c r="A47" s="303" t="s">
        <v>142</v>
      </c>
      <c r="B47" s="214" t="s">
        <v>172</v>
      </c>
      <c r="C47" s="214"/>
      <c r="D47" s="214"/>
      <c r="E47" s="214"/>
      <c r="F47" s="214"/>
      <c r="G47" s="214"/>
      <c r="H47" s="214"/>
      <c r="I47" s="214"/>
      <c r="J47" s="214"/>
      <c r="K47" s="214"/>
      <c r="L47" s="214"/>
      <c r="M47" s="214"/>
      <c r="N47" s="214"/>
      <c r="O47" s="214"/>
    </row>
    <row r="48" spans="1:237" ht="23.4" x14ac:dyDescent="0.45">
      <c r="A48" s="303" t="s">
        <v>150</v>
      </c>
      <c r="B48" s="214" t="s">
        <v>173</v>
      </c>
      <c r="C48" s="214"/>
      <c r="D48" s="214"/>
      <c r="E48" s="214"/>
      <c r="F48" s="214"/>
      <c r="G48" s="214"/>
      <c r="H48" s="214"/>
      <c r="I48" s="214"/>
      <c r="J48" s="214"/>
      <c r="K48" s="214"/>
      <c r="L48" s="214"/>
      <c r="M48" s="214"/>
      <c r="N48" s="214"/>
      <c r="O48" s="214"/>
    </row>
    <row r="49" spans="1:15" ht="23.4" x14ac:dyDescent="0.45">
      <c r="A49" s="303" t="s">
        <v>155</v>
      </c>
      <c r="B49" s="214" t="s">
        <v>174</v>
      </c>
      <c r="C49" s="214"/>
      <c r="D49" s="214"/>
      <c r="E49" s="214"/>
      <c r="F49" s="214"/>
      <c r="G49" s="214"/>
      <c r="H49" s="214"/>
      <c r="I49" s="214"/>
      <c r="J49" s="214"/>
      <c r="K49" s="214"/>
      <c r="L49" s="214"/>
      <c r="M49" s="214"/>
      <c r="N49" s="214"/>
      <c r="O49" s="214"/>
    </row>
    <row r="50" spans="1:15" ht="23.4" x14ac:dyDescent="0.45">
      <c r="A50" s="303" t="s">
        <v>175</v>
      </c>
      <c r="B50" s="214" t="s">
        <v>176</v>
      </c>
      <c r="C50" s="214"/>
      <c r="D50" s="214"/>
      <c r="E50" s="214"/>
      <c r="F50" s="214"/>
      <c r="G50" s="214"/>
      <c r="H50" s="214"/>
      <c r="I50" s="214"/>
      <c r="J50" s="214"/>
      <c r="K50" s="214"/>
      <c r="L50" s="214"/>
      <c r="M50" s="214"/>
      <c r="N50" s="214"/>
      <c r="O50" s="214"/>
    </row>
  </sheetData>
  <mergeCells count="6">
    <mergeCell ref="C28:E28"/>
    <mergeCell ref="C8:E8"/>
    <mergeCell ref="I8:K8"/>
    <mergeCell ref="I28:K28"/>
    <mergeCell ref="F8:H8"/>
    <mergeCell ref="F28:H28"/>
  </mergeCells>
  <phoneticPr fontId="0" type="noConversion"/>
  <printOptions gridLinesSet="0"/>
  <pageMargins left="0.75" right="0.75" top="1" bottom="1" header="0.5" footer="0.5"/>
  <pageSetup scale="5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P38"/>
  <sheetViews>
    <sheetView showGridLines="0" view="pageBreakPreview" zoomScale="60" zoomScaleNormal="100" workbookViewId="0">
      <selection activeCell="C30" sqref="C30"/>
    </sheetView>
  </sheetViews>
  <sheetFormatPr defaultColWidth="8.81640625" defaultRowHeight="15.6" x14ac:dyDescent="0.3"/>
  <cols>
    <col min="1" max="1" width="11.1796875" customWidth="1"/>
    <col min="2" max="2" width="13.81640625" customWidth="1"/>
    <col min="3" max="3" width="14.36328125" customWidth="1"/>
    <col min="4" max="4" width="6.6328125" style="3" customWidth="1"/>
    <col min="5" max="5" width="11.08984375" customWidth="1"/>
    <col min="6" max="6" width="10" customWidth="1"/>
    <col min="7" max="8" width="10.81640625" customWidth="1"/>
    <col min="9" max="9" width="27.36328125" style="3" customWidth="1"/>
    <col min="10" max="10" width="11.81640625" customWidth="1"/>
  </cols>
  <sheetData>
    <row r="1" spans="1:16" ht="18" x14ac:dyDescent="0.35">
      <c r="A1" s="181"/>
      <c r="B1" s="181"/>
      <c r="C1" s="181"/>
      <c r="D1" s="563"/>
      <c r="E1" s="181"/>
      <c r="F1" s="181"/>
      <c r="G1" s="181"/>
      <c r="H1" s="181"/>
      <c r="I1" s="306"/>
      <c r="J1" s="181"/>
      <c r="K1" s="181"/>
      <c r="L1" s="181"/>
      <c r="M1" s="181"/>
      <c r="N1" s="181"/>
      <c r="O1" s="181"/>
      <c r="P1" s="181"/>
    </row>
    <row r="2" spans="1:16" s="3" customFormat="1" ht="18" x14ac:dyDescent="0.35">
      <c r="A2" s="605" t="str">
        <f>+'HAPs Factors'!A2</f>
        <v>SPRINGDALE ENERGY, LLC</v>
      </c>
      <c r="B2" s="605"/>
      <c r="C2" s="605"/>
      <c r="D2" s="605"/>
      <c r="E2" s="605"/>
      <c r="F2" s="605"/>
      <c r="G2" s="605"/>
      <c r="H2" s="605"/>
      <c r="I2" s="605"/>
      <c r="J2" s="563"/>
      <c r="K2" s="563"/>
      <c r="L2" s="563"/>
      <c r="M2" s="563"/>
      <c r="N2" s="563"/>
      <c r="O2" s="563"/>
      <c r="P2" s="563"/>
    </row>
    <row r="3" spans="1:16" s="3" customFormat="1" ht="18" x14ac:dyDescent="0.35">
      <c r="A3" s="605" t="str">
        <f>+'HAPs Factors'!A3</f>
        <v>SPRINGDALE POWER STATION</v>
      </c>
      <c r="B3" s="606"/>
      <c r="C3" s="606"/>
      <c r="D3" s="606"/>
      <c r="E3" s="606"/>
      <c r="F3" s="606"/>
      <c r="G3" s="606"/>
      <c r="H3" s="606"/>
      <c r="I3" s="606"/>
      <c r="J3" s="563"/>
      <c r="K3" s="563"/>
      <c r="L3" s="563"/>
      <c r="M3" s="563"/>
      <c r="N3" s="563"/>
      <c r="O3" s="563"/>
      <c r="P3" s="563"/>
    </row>
    <row r="4" spans="1:16" s="3" customFormat="1" ht="18" x14ac:dyDescent="0.35">
      <c r="A4" s="605" t="s">
        <v>209</v>
      </c>
      <c r="B4" s="606"/>
      <c r="C4" s="606"/>
      <c r="D4" s="606"/>
      <c r="E4" s="606"/>
      <c r="F4" s="606"/>
      <c r="G4" s="606"/>
      <c r="H4" s="606"/>
      <c r="I4" s="606"/>
      <c r="J4" s="563"/>
      <c r="K4" s="563"/>
      <c r="L4" s="563"/>
      <c r="M4" s="563"/>
      <c r="N4" s="563"/>
      <c r="O4" s="563"/>
      <c r="P4" s="563"/>
    </row>
    <row r="5" spans="1:16" ht="18.600000000000001" thickBot="1" x14ac:dyDescent="0.4">
      <c r="A5" s="180"/>
      <c r="B5" s="181"/>
      <c r="C5" s="181"/>
      <c r="D5" s="563"/>
      <c r="E5" s="307">
        <f>Typ!B13</f>
        <v>1888580</v>
      </c>
      <c r="F5" s="307">
        <f>Typ!E13</f>
        <v>1888580</v>
      </c>
      <c r="G5" s="307">
        <f>Typ!H13</f>
        <v>18343440</v>
      </c>
      <c r="H5" s="307">
        <f>Typ!K13</f>
        <v>18343440</v>
      </c>
      <c r="I5" s="308"/>
      <c r="J5" s="181"/>
      <c r="K5" s="181"/>
      <c r="L5" s="181"/>
      <c r="M5" s="181"/>
      <c r="N5" s="181"/>
      <c r="O5" s="181"/>
      <c r="P5" s="181"/>
    </row>
    <row r="6" spans="1:16" ht="18.600000000000001" thickTop="1" x14ac:dyDescent="0.35">
      <c r="A6" s="309"/>
      <c r="B6" s="310"/>
      <c r="C6" s="607" t="s">
        <v>210</v>
      </c>
      <c r="D6" s="608"/>
      <c r="E6" s="564" t="s">
        <v>211</v>
      </c>
      <c r="F6" s="311"/>
      <c r="G6" s="311"/>
      <c r="H6" s="311"/>
      <c r="I6" s="312"/>
      <c r="J6" s="181"/>
      <c r="K6" s="181"/>
      <c r="L6" s="181"/>
      <c r="M6" s="181"/>
      <c r="N6" s="181"/>
      <c r="O6" s="181"/>
      <c r="P6" s="181"/>
    </row>
    <row r="7" spans="1:16" ht="18" x14ac:dyDescent="0.35">
      <c r="A7" s="313"/>
      <c r="B7" s="314"/>
      <c r="C7" s="601" t="s">
        <v>212</v>
      </c>
      <c r="D7" s="602"/>
      <c r="E7" s="565" t="s">
        <v>213</v>
      </c>
      <c r="F7" s="315"/>
      <c r="G7" s="315"/>
      <c r="H7" s="315"/>
      <c r="I7" s="316"/>
      <c r="J7" s="181"/>
      <c r="K7" s="181"/>
      <c r="L7" s="181"/>
      <c r="M7" s="181"/>
      <c r="N7" s="181"/>
      <c r="O7" s="181"/>
      <c r="P7" s="181"/>
    </row>
    <row r="8" spans="1:16" ht="18.600000000000001" thickBot="1" x14ac:dyDescent="0.4">
      <c r="A8" s="317" t="s">
        <v>214</v>
      </c>
      <c r="B8" s="318"/>
      <c r="C8" s="601" t="s">
        <v>139</v>
      </c>
      <c r="D8" s="602"/>
      <c r="E8" s="319" t="s">
        <v>215</v>
      </c>
      <c r="F8" s="320"/>
      <c r="G8" s="320"/>
      <c r="H8" s="320"/>
      <c r="I8" s="321"/>
      <c r="J8" s="181"/>
      <c r="K8" s="181"/>
      <c r="L8" s="181"/>
      <c r="M8" s="181"/>
      <c r="N8" s="181"/>
      <c r="O8" s="181"/>
      <c r="P8" s="181"/>
    </row>
    <row r="9" spans="1:16" ht="19.2" thickTop="1" thickBot="1" x14ac:dyDescent="0.4">
      <c r="A9" s="322" t="s">
        <v>216</v>
      </c>
      <c r="B9" s="323"/>
      <c r="C9" s="603" t="s">
        <v>217</v>
      </c>
      <c r="D9" s="604"/>
      <c r="E9" s="324" t="s">
        <v>218</v>
      </c>
      <c r="F9" s="325" t="s">
        <v>124</v>
      </c>
      <c r="G9" s="325" t="s">
        <v>125</v>
      </c>
      <c r="H9" s="326" t="s">
        <v>126</v>
      </c>
      <c r="I9" s="327" t="s">
        <v>219</v>
      </c>
      <c r="J9" s="181"/>
      <c r="K9" s="181"/>
      <c r="L9" s="181"/>
      <c r="M9" s="181"/>
      <c r="N9" s="181"/>
      <c r="O9" s="181"/>
      <c r="P9" s="181"/>
    </row>
    <row r="10" spans="1:16" ht="18" x14ac:dyDescent="0.35">
      <c r="A10" s="328" t="s">
        <v>186</v>
      </c>
      <c r="B10" s="329"/>
      <c r="C10" s="330">
        <f>'HAPs Factors'!E16</f>
        <v>4.3000000000000001E-7</v>
      </c>
      <c r="D10" s="331" t="s">
        <v>149</v>
      </c>
      <c r="E10" s="332">
        <f t="shared" ref="E10:H11" si="0">$C10*E$5/2000</f>
        <v>4.0604470000000001E-4</v>
      </c>
      <c r="F10" s="333">
        <f t="shared" si="0"/>
        <v>4.0604470000000001E-4</v>
      </c>
      <c r="G10" s="333">
        <f t="shared" si="0"/>
        <v>3.9438396000000004E-3</v>
      </c>
      <c r="H10" s="334">
        <f t="shared" si="0"/>
        <v>3.9438396000000004E-3</v>
      </c>
      <c r="I10" s="335">
        <f>SUM(E10:H10)</f>
        <v>8.6997686000000012E-3</v>
      </c>
      <c r="J10" s="181"/>
      <c r="K10" s="181"/>
      <c r="L10" s="181"/>
      <c r="M10" s="181"/>
      <c r="N10" s="181"/>
      <c r="O10" s="181"/>
      <c r="P10" s="181"/>
    </row>
    <row r="11" spans="1:16" ht="18" x14ac:dyDescent="0.35">
      <c r="A11" s="336" t="s">
        <v>188</v>
      </c>
      <c r="B11" s="337"/>
      <c r="C11" s="330">
        <f>'HAPs Factors'!E17</f>
        <v>4.0000000000000003E-5</v>
      </c>
      <c r="D11" s="338" t="s">
        <v>149</v>
      </c>
      <c r="E11" s="332">
        <f t="shared" si="0"/>
        <v>3.7771600000000009E-2</v>
      </c>
      <c r="F11" s="339">
        <f t="shared" si="0"/>
        <v>3.7771600000000009E-2</v>
      </c>
      <c r="G11" s="339">
        <f t="shared" si="0"/>
        <v>0.36686879999999999</v>
      </c>
      <c r="H11" s="340">
        <f t="shared" si="0"/>
        <v>0.36686879999999999</v>
      </c>
      <c r="I11" s="341">
        <f t="shared" ref="I11:I20" si="1">SUM(E11:H11)</f>
        <v>0.80928080000000002</v>
      </c>
      <c r="J11" s="181"/>
      <c r="K11" s="181"/>
      <c r="L11" s="181"/>
      <c r="M11" s="181"/>
      <c r="N11" s="181"/>
      <c r="O11" s="181"/>
      <c r="P11" s="181"/>
    </row>
    <row r="12" spans="1:16" ht="18" x14ac:dyDescent="0.35">
      <c r="A12" s="328" t="s">
        <v>189</v>
      </c>
      <c r="B12" s="342"/>
      <c r="C12" s="330">
        <f>'HAPs Factors'!E18</f>
        <v>6.3999999999999997E-6</v>
      </c>
      <c r="D12" s="338" t="s">
        <v>149</v>
      </c>
      <c r="E12" s="332">
        <f t="shared" ref="E12:H20" si="2">$C12*E$5/2000</f>
        <v>6.043456E-3</v>
      </c>
      <c r="F12" s="339">
        <f t="shared" si="2"/>
        <v>6.043456E-3</v>
      </c>
      <c r="G12" s="339">
        <f t="shared" si="2"/>
        <v>5.8699007999999997E-2</v>
      </c>
      <c r="H12" s="340">
        <f t="shared" si="2"/>
        <v>5.8699007999999997E-2</v>
      </c>
      <c r="I12" s="341">
        <f t="shared" si="1"/>
        <v>0.129484928</v>
      </c>
      <c r="J12" s="181"/>
      <c r="K12" s="181"/>
      <c r="L12" s="181"/>
      <c r="M12" s="181"/>
      <c r="N12" s="181"/>
      <c r="O12" s="181"/>
      <c r="P12" s="181"/>
    </row>
    <row r="13" spans="1:16" ht="18" x14ac:dyDescent="0.35">
      <c r="A13" s="328" t="s">
        <v>190</v>
      </c>
      <c r="B13" s="342"/>
      <c r="C13" s="330">
        <f>'HAPs Factors'!E19</f>
        <v>1.2E-5</v>
      </c>
      <c r="D13" s="338" t="s">
        <v>149</v>
      </c>
      <c r="E13" s="332">
        <f t="shared" si="2"/>
        <v>1.1331480000000001E-2</v>
      </c>
      <c r="F13" s="339">
        <f t="shared" si="2"/>
        <v>1.1331480000000001E-2</v>
      </c>
      <c r="G13" s="339">
        <f t="shared" si="2"/>
        <v>0.11006064</v>
      </c>
      <c r="H13" s="340">
        <f t="shared" si="2"/>
        <v>0.11006064</v>
      </c>
      <c r="I13" s="341">
        <f t="shared" si="1"/>
        <v>0.24278423999999998</v>
      </c>
      <c r="J13" s="181"/>
      <c r="K13" s="181"/>
      <c r="L13" s="181"/>
      <c r="M13" s="181"/>
      <c r="N13" s="181"/>
      <c r="O13" s="181"/>
      <c r="P13" s="181"/>
    </row>
    <row r="14" spans="1:16" ht="18" x14ac:dyDescent="0.35">
      <c r="A14" s="328" t="s">
        <v>191</v>
      </c>
      <c r="B14" s="342"/>
      <c r="C14" s="330">
        <f>'HAPs Factors'!E20</f>
        <v>3.1999999999999999E-5</v>
      </c>
      <c r="D14" s="338" t="s">
        <v>149</v>
      </c>
      <c r="E14" s="332">
        <f t="shared" si="2"/>
        <v>3.0217279999999999E-2</v>
      </c>
      <c r="F14" s="339">
        <f t="shared" si="2"/>
        <v>3.0217279999999999E-2</v>
      </c>
      <c r="G14" s="339">
        <f t="shared" si="2"/>
        <v>0.29349503999999998</v>
      </c>
      <c r="H14" s="340">
        <f t="shared" si="2"/>
        <v>0.29349503999999998</v>
      </c>
      <c r="I14" s="341">
        <f t="shared" si="1"/>
        <v>0.64742463999999988</v>
      </c>
      <c r="J14" s="181"/>
      <c r="K14" s="181"/>
      <c r="L14" s="181"/>
      <c r="M14" s="181"/>
      <c r="N14" s="181"/>
      <c r="O14" s="181"/>
      <c r="P14" s="181"/>
    </row>
    <row r="15" spans="1:16" s="18" customFormat="1" ht="18" x14ac:dyDescent="0.35">
      <c r="A15" s="328" t="s">
        <v>118</v>
      </c>
      <c r="B15" s="342"/>
      <c r="C15" s="330" t="s">
        <v>220</v>
      </c>
      <c r="D15" s="338" t="s">
        <v>221</v>
      </c>
      <c r="E15" s="332">
        <f>3.3/2</f>
        <v>1.65</v>
      </c>
      <c r="F15" s="339">
        <f>3.3/2</f>
        <v>1.65</v>
      </c>
      <c r="G15" s="339">
        <f>5.7/2</f>
        <v>2.85</v>
      </c>
      <c r="H15" s="340">
        <f>5.7/2</f>
        <v>2.85</v>
      </c>
      <c r="I15" s="343">
        <f t="shared" si="1"/>
        <v>9</v>
      </c>
      <c r="J15" s="180"/>
      <c r="K15" s="180"/>
      <c r="L15" s="180"/>
      <c r="M15" s="180"/>
      <c r="N15" s="180"/>
      <c r="O15" s="180"/>
      <c r="P15" s="180"/>
    </row>
    <row r="16" spans="1:16" ht="18" x14ac:dyDescent="0.35">
      <c r="A16" s="328" t="s">
        <v>192</v>
      </c>
      <c r="B16" s="342"/>
      <c r="C16" s="330">
        <f>'HAPs Factors'!E22</f>
        <v>1.3E-6</v>
      </c>
      <c r="D16" s="338" t="s">
        <v>149</v>
      </c>
      <c r="E16" s="332">
        <f t="shared" si="2"/>
        <v>1.2275770000000001E-3</v>
      </c>
      <c r="F16" s="339">
        <f t="shared" si="2"/>
        <v>1.2275770000000001E-3</v>
      </c>
      <c r="G16" s="339">
        <f t="shared" si="2"/>
        <v>1.1923236E-2</v>
      </c>
      <c r="H16" s="340">
        <f t="shared" si="2"/>
        <v>1.1923236E-2</v>
      </c>
      <c r="I16" s="343">
        <f t="shared" si="1"/>
        <v>2.6301626000000002E-2</v>
      </c>
      <c r="J16" s="181"/>
      <c r="K16" s="181"/>
      <c r="L16" s="181"/>
      <c r="M16" s="181"/>
      <c r="N16" s="181"/>
      <c r="O16" s="181"/>
      <c r="P16" s="181"/>
    </row>
    <row r="17" spans="1:16" ht="18" x14ac:dyDescent="0.35">
      <c r="A17" s="328" t="s">
        <v>193</v>
      </c>
      <c r="B17" s="342"/>
      <c r="C17" s="330">
        <f>'HAPs Factors'!E23</f>
        <v>2.2000000000000001E-6</v>
      </c>
      <c r="D17" s="338" t="s">
        <v>149</v>
      </c>
      <c r="E17" s="332">
        <f t="shared" si="2"/>
        <v>2.077438E-3</v>
      </c>
      <c r="F17" s="339">
        <f t="shared" si="2"/>
        <v>2.077438E-3</v>
      </c>
      <c r="G17" s="339">
        <f t="shared" si="2"/>
        <v>2.0177784000000004E-2</v>
      </c>
      <c r="H17" s="340">
        <f t="shared" si="2"/>
        <v>2.0177784000000004E-2</v>
      </c>
      <c r="I17" s="343">
        <f t="shared" si="1"/>
        <v>4.451044400000001E-2</v>
      </c>
      <c r="J17" s="181"/>
      <c r="K17" s="181"/>
      <c r="L17" s="181"/>
      <c r="M17" s="181"/>
      <c r="N17" s="181"/>
      <c r="O17" s="181"/>
      <c r="P17" s="181"/>
    </row>
    <row r="18" spans="1:16" ht="18" x14ac:dyDescent="0.35">
      <c r="A18" s="328" t="s">
        <v>194</v>
      </c>
      <c r="B18" s="342"/>
      <c r="C18" s="330">
        <f>'HAPs Factors'!E24</f>
        <v>2.9E-5</v>
      </c>
      <c r="D18" s="338" t="s">
        <v>149</v>
      </c>
      <c r="E18" s="332">
        <f t="shared" si="2"/>
        <v>2.7384409999999998E-2</v>
      </c>
      <c r="F18" s="339">
        <f t="shared" si="2"/>
        <v>2.7384409999999998E-2</v>
      </c>
      <c r="G18" s="339">
        <f t="shared" si="2"/>
        <v>0.26597988</v>
      </c>
      <c r="H18" s="340">
        <f t="shared" si="2"/>
        <v>0.26597988</v>
      </c>
      <c r="I18" s="343">
        <f t="shared" si="1"/>
        <v>0.58672857999999994</v>
      </c>
      <c r="J18" s="181"/>
      <c r="K18" s="181"/>
      <c r="L18" s="181"/>
      <c r="M18" s="181"/>
      <c r="N18" s="181"/>
      <c r="O18" s="181"/>
      <c r="P18" s="181"/>
    </row>
    <row r="19" spans="1:16" ht="18" x14ac:dyDescent="0.35">
      <c r="A19" s="328" t="s">
        <v>195</v>
      </c>
      <c r="B19" s="342"/>
      <c r="C19" s="330">
        <f>'HAPs Factors'!E25</f>
        <v>1.2999999999999999E-4</v>
      </c>
      <c r="D19" s="338" t="s">
        <v>149</v>
      </c>
      <c r="E19" s="332">
        <f t="shared" si="2"/>
        <v>0.12275769999999998</v>
      </c>
      <c r="F19" s="339">
        <f t="shared" si="2"/>
        <v>0.12275769999999998</v>
      </c>
      <c r="G19" s="339">
        <f t="shared" si="2"/>
        <v>1.1923235999999999</v>
      </c>
      <c r="H19" s="340">
        <f t="shared" si="2"/>
        <v>1.1923235999999999</v>
      </c>
      <c r="I19" s="343">
        <f t="shared" si="1"/>
        <v>2.6301625999999998</v>
      </c>
      <c r="J19" s="181"/>
      <c r="K19" s="181"/>
      <c r="L19" s="181"/>
      <c r="M19" s="181"/>
      <c r="N19" s="181"/>
      <c r="O19" s="181"/>
      <c r="P19" s="181"/>
    </row>
    <row r="20" spans="1:16" ht="18" x14ac:dyDescent="0.35">
      <c r="A20" s="328" t="s">
        <v>196</v>
      </c>
      <c r="B20" s="342"/>
      <c r="C20" s="330">
        <f>'HAPs Factors'!E26</f>
        <v>6.3999999999999997E-5</v>
      </c>
      <c r="D20" s="338" t="s">
        <v>149</v>
      </c>
      <c r="E20" s="332">
        <f t="shared" si="2"/>
        <v>6.0434559999999998E-2</v>
      </c>
      <c r="F20" s="339">
        <f t="shared" si="2"/>
        <v>6.0434559999999998E-2</v>
      </c>
      <c r="G20" s="339">
        <f t="shared" si="2"/>
        <v>0.58699007999999997</v>
      </c>
      <c r="H20" s="340">
        <f t="shared" si="2"/>
        <v>0.58699007999999997</v>
      </c>
      <c r="I20" s="343">
        <f t="shared" si="1"/>
        <v>1.2948492799999998</v>
      </c>
      <c r="J20" s="181"/>
      <c r="K20" s="181"/>
      <c r="L20" s="181"/>
      <c r="M20" s="181"/>
      <c r="N20" s="181"/>
      <c r="O20" s="181"/>
      <c r="P20" s="181"/>
    </row>
    <row r="21" spans="1:16" ht="18.600000000000001" thickBot="1" x14ac:dyDescent="0.4">
      <c r="A21" s="181"/>
      <c r="B21" s="181"/>
      <c r="C21" s="181"/>
      <c r="D21" s="563"/>
      <c r="E21" s="181"/>
      <c r="F21" s="181"/>
      <c r="G21" s="344" t="s">
        <v>222</v>
      </c>
      <c r="H21" s="344"/>
      <c r="I21" s="345">
        <f>SUM(I10:I20)</f>
        <v>15.4202269066</v>
      </c>
      <c r="J21" s="181"/>
      <c r="K21" s="181"/>
      <c r="L21" s="181"/>
      <c r="M21" s="181"/>
      <c r="N21" s="181"/>
      <c r="O21" s="181"/>
      <c r="P21" s="181"/>
    </row>
    <row r="22" spans="1:16" ht="18.600000000000001" thickTop="1" x14ac:dyDescent="0.35">
      <c r="A22" s="346" t="s">
        <v>169</v>
      </c>
      <c r="B22" s="181"/>
      <c r="C22" s="181"/>
      <c r="D22" s="563"/>
      <c r="E22" s="181"/>
      <c r="F22" s="181"/>
      <c r="G22" s="181"/>
      <c r="H22" s="181"/>
      <c r="I22" s="563"/>
      <c r="J22" s="181"/>
      <c r="K22" s="181"/>
      <c r="L22" s="181"/>
      <c r="M22" s="181"/>
      <c r="N22" s="181"/>
      <c r="O22" s="181"/>
      <c r="P22" s="181"/>
    </row>
    <row r="23" spans="1:16" ht="15" customHeight="1" x14ac:dyDescent="0.35">
      <c r="A23" s="347" t="s">
        <v>149</v>
      </c>
      <c r="B23" s="348" t="s">
        <v>223</v>
      </c>
      <c r="C23" s="181"/>
      <c r="D23" s="563"/>
      <c r="E23" s="181"/>
      <c r="F23" s="181"/>
      <c r="G23" s="181"/>
      <c r="H23" s="181"/>
      <c r="I23" s="563"/>
      <c r="J23" s="181"/>
      <c r="K23" s="181"/>
      <c r="L23" s="181"/>
      <c r="M23" s="181"/>
      <c r="N23" s="181"/>
      <c r="O23" s="181"/>
      <c r="P23" s="181"/>
    </row>
    <row r="24" spans="1:16" ht="15" customHeight="1" x14ac:dyDescent="0.35">
      <c r="A24" s="347" t="s">
        <v>152</v>
      </c>
      <c r="B24" s="181" t="s">
        <v>224</v>
      </c>
      <c r="C24" s="181"/>
      <c r="D24" s="563"/>
      <c r="E24" s="181"/>
      <c r="F24" s="181"/>
      <c r="G24" s="181"/>
      <c r="H24" s="181"/>
      <c r="I24" s="563"/>
      <c r="J24" s="181"/>
      <c r="K24" s="181"/>
      <c r="L24" s="181"/>
      <c r="M24" s="181"/>
      <c r="N24" s="181"/>
      <c r="O24" s="181"/>
      <c r="P24" s="181"/>
    </row>
    <row r="25" spans="1:16" ht="15" customHeight="1" x14ac:dyDescent="0.35">
      <c r="A25" s="347" t="s">
        <v>142</v>
      </c>
      <c r="B25" s="181" t="s">
        <v>225</v>
      </c>
      <c r="C25" s="181"/>
      <c r="D25" s="563"/>
      <c r="E25" s="181"/>
      <c r="F25" s="181"/>
      <c r="G25" s="181"/>
      <c r="H25" s="181"/>
      <c r="I25" s="563"/>
      <c r="J25" s="181"/>
      <c r="K25" s="181"/>
      <c r="L25" s="181"/>
      <c r="M25" s="181"/>
      <c r="N25" s="181"/>
      <c r="O25" s="181"/>
      <c r="P25" s="181"/>
    </row>
    <row r="26" spans="1:16" ht="18" x14ac:dyDescent="0.35">
      <c r="A26" s="181"/>
      <c r="B26" s="181"/>
      <c r="C26" s="181"/>
      <c r="D26" s="563"/>
      <c r="E26" s="181"/>
      <c r="F26" s="181"/>
      <c r="G26" s="181"/>
      <c r="H26" s="181"/>
      <c r="I26" s="563"/>
      <c r="J26" s="181"/>
      <c r="K26" s="181"/>
      <c r="L26" s="181"/>
      <c r="M26" s="181"/>
      <c r="N26" s="181"/>
      <c r="O26" s="181"/>
      <c r="P26" s="181"/>
    </row>
    <row r="27" spans="1:16" ht="18" x14ac:dyDescent="0.35">
      <c r="A27" s="180" t="s">
        <v>226</v>
      </c>
      <c r="B27" s="181"/>
      <c r="C27" s="181"/>
      <c r="D27" s="563"/>
      <c r="E27" s="181"/>
      <c r="F27" s="181"/>
      <c r="G27" s="181"/>
      <c r="H27" s="181"/>
      <c r="I27" s="563"/>
      <c r="J27" s="181"/>
      <c r="K27" s="181"/>
      <c r="L27" s="181"/>
      <c r="M27" s="181"/>
      <c r="N27" s="181"/>
      <c r="O27" s="181"/>
      <c r="P27" s="181"/>
    </row>
    <row r="28" spans="1:16" ht="18" x14ac:dyDescent="0.35">
      <c r="A28" s="180" t="s">
        <v>227</v>
      </c>
      <c r="B28" s="181"/>
      <c r="C28" s="181"/>
      <c r="D28" s="563"/>
      <c r="E28" s="181"/>
      <c r="F28" s="181"/>
      <c r="G28" s="181"/>
      <c r="H28" s="181"/>
      <c r="I28" s="563"/>
      <c r="J28" s="181"/>
      <c r="K28" s="181"/>
      <c r="L28" s="181"/>
      <c r="M28" s="181"/>
      <c r="N28" s="181"/>
      <c r="O28" s="181"/>
      <c r="P28" s="181"/>
    </row>
    <row r="29" spans="1:16" ht="18" x14ac:dyDescent="0.35">
      <c r="A29" s="181"/>
      <c r="B29" s="181"/>
      <c r="C29" s="181"/>
      <c r="D29" s="563"/>
      <c r="E29" s="181"/>
      <c r="F29" s="181"/>
      <c r="G29" s="181"/>
      <c r="H29" s="181"/>
      <c r="I29" s="563"/>
      <c r="J29" s="181"/>
      <c r="K29" s="181"/>
      <c r="L29" s="181"/>
      <c r="M29" s="181"/>
      <c r="N29" s="181"/>
      <c r="O29" s="181"/>
      <c r="P29" s="181"/>
    </row>
    <row r="30" spans="1:16" ht="18" x14ac:dyDescent="0.35">
      <c r="A30" s="181"/>
      <c r="B30" s="181"/>
      <c r="C30" s="181"/>
      <c r="D30" s="563"/>
      <c r="E30" s="181"/>
      <c r="F30" s="181"/>
      <c r="G30" s="181"/>
      <c r="H30" s="181"/>
      <c r="I30" s="563"/>
      <c r="J30" s="181"/>
      <c r="K30" s="181"/>
      <c r="L30" s="181"/>
      <c r="M30" s="181"/>
      <c r="N30" s="181"/>
      <c r="O30" s="181"/>
      <c r="P30" s="181"/>
    </row>
    <row r="31" spans="1:16" ht="18" x14ac:dyDescent="0.35">
      <c r="A31" s="181"/>
      <c r="B31" s="181"/>
      <c r="C31" s="181"/>
      <c r="D31" s="563"/>
      <c r="E31" s="181"/>
      <c r="F31" s="181"/>
      <c r="G31" s="181"/>
      <c r="H31" s="181"/>
      <c r="I31" s="563"/>
      <c r="J31" s="181"/>
      <c r="K31" s="181"/>
      <c r="L31" s="181"/>
      <c r="M31" s="181"/>
      <c r="N31" s="181"/>
      <c r="O31" s="181"/>
      <c r="P31" s="181"/>
    </row>
    <row r="32" spans="1:16" ht="18" x14ac:dyDescent="0.35">
      <c r="A32" s="181"/>
      <c r="B32" s="181"/>
      <c r="C32" s="181"/>
      <c r="D32" s="563"/>
      <c r="E32" s="181"/>
      <c r="F32" s="181"/>
      <c r="G32" s="181"/>
      <c r="H32" s="181"/>
      <c r="I32" s="563"/>
      <c r="J32" s="181"/>
      <c r="K32" s="181"/>
      <c r="L32" s="181"/>
      <c r="M32" s="181"/>
      <c r="N32" s="181"/>
      <c r="O32" s="181"/>
      <c r="P32" s="181"/>
    </row>
    <row r="33" spans="1:16" ht="18" x14ac:dyDescent="0.35">
      <c r="A33" s="181"/>
      <c r="B33" s="181"/>
      <c r="C33" s="181"/>
      <c r="D33" s="563"/>
      <c r="E33" s="181"/>
      <c r="F33" s="181"/>
      <c r="G33" s="181"/>
      <c r="H33" s="181"/>
      <c r="I33" s="563"/>
      <c r="J33" s="181"/>
      <c r="K33" s="181"/>
      <c r="L33" s="181"/>
      <c r="M33" s="181"/>
      <c r="N33" s="181"/>
      <c r="O33" s="181"/>
      <c r="P33" s="181"/>
    </row>
    <row r="34" spans="1:16" ht="18" x14ac:dyDescent="0.35">
      <c r="A34" s="181"/>
      <c r="B34" s="181"/>
      <c r="C34" s="181"/>
      <c r="D34" s="563"/>
      <c r="E34" s="181"/>
      <c r="F34" s="181"/>
      <c r="G34" s="181"/>
      <c r="H34" s="181"/>
      <c r="I34" s="563"/>
      <c r="J34" s="181"/>
      <c r="K34" s="181"/>
      <c r="L34" s="181"/>
      <c r="M34" s="181"/>
      <c r="N34" s="181"/>
      <c r="O34" s="181"/>
      <c r="P34" s="181"/>
    </row>
    <row r="35" spans="1:16" ht="18" x14ac:dyDescent="0.35">
      <c r="A35" s="181"/>
      <c r="B35" s="181"/>
      <c r="C35" s="181"/>
      <c r="D35" s="563"/>
      <c r="E35" s="181"/>
      <c r="F35" s="181"/>
      <c r="G35" s="181"/>
      <c r="H35" s="181"/>
      <c r="I35" s="563"/>
      <c r="J35" s="181"/>
      <c r="K35" s="181"/>
      <c r="L35" s="181"/>
      <c r="M35" s="181"/>
      <c r="N35" s="181"/>
      <c r="O35" s="181"/>
      <c r="P35" s="181"/>
    </row>
    <row r="36" spans="1:16" ht="18" x14ac:dyDescent="0.35">
      <c r="A36" s="181"/>
      <c r="B36" s="181"/>
      <c r="C36" s="181"/>
      <c r="D36" s="563"/>
      <c r="E36" s="181"/>
      <c r="F36" s="181"/>
      <c r="G36" s="181"/>
      <c r="H36" s="181"/>
      <c r="I36" s="563"/>
      <c r="J36" s="181"/>
      <c r="K36" s="181"/>
      <c r="L36" s="181"/>
      <c r="M36" s="181"/>
      <c r="N36" s="181"/>
      <c r="O36" s="181"/>
      <c r="P36" s="181"/>
    </row>
    <row r="37" spans="1:16" ht="18" x14ac:dyDescent="0.35">
      <c r="A37" s="181"/>
      <c r="B37" s="181"/>
      <c r="C37" s="181"/>
      <c r="D37" s="563"/>
      <c r="E37" s="181"/>
      <c r="F37" s="181"/>
      <c r="G37" s="181"/>
      <c r="H37" s="181"/>
      <c r="I37" s="563"/>
      <c r="J37" s="181"/>
      <c r="K37" s="181"/>
      <c r="L37" s="181"/>
      <c r="M37" s="181"/>
      <c r="N37" s="181"/>
      <c r="O37" s="181"/>
      <c r="P37" s="181"/>
    </row>
    <row r="38" spans="1:16" ht="18" x14ac:dyDescent="0.35">
      <c r="A38" s="181"/>
      <c r="B38" s="181"/>
      <c r="C38" s="181"/>
      <c r="D38" s="563"/>
      <c r="E38" s="181"/>
      <c r="F38" s="181"/>
      <c r="G38" s="181"/>
      <c r="H38" s="181"/>
      <c r="I38" s="563"/>
      <c r="J38" s="181"/>
      <c r="K38" s="181"/>
      <c r="L38" s="181"/>
      <c r="M38" s="181"/>
      <c r="N38" s="181"/>
      <c r="O38" s="181"/>
      <c r="P38" s="181"/>
    </row>
  </sheetData>
  <mergeCells count="7">
    <mergeCell ref="C8:D8"/>
    <mergeCell ref="C9:D9"/>
    <mergeCell ref="A2:I2"/>
    <mergeCell ref="A3:I3"/>
    <mergeCell ref="A4:I4"/>
    <mergeCell ref="C6:D6"/>
    <mergeCell ref="C7:D7"/>
  </mergeCells>
  <phoneticPr fontId="0" type="noConversion"/>
  <conditionalFormatting sqref="I10:I20">
    <cfRule type="cellIs" dxfId="0" priority="1" stopIfTrue="1" operator="greaterThan">
      <formula>0.1</formula>
    </cfRule>
  </conditionalFormatting>
  <printOptions gridLinesSet="0"/>
  <pageMargins left="0.75" right="0.75" top="1" bottom="1" header="0.5" footer="0.5"/>
  <pageSetup scale="80"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view="pageBreakPreview" zoomScale="60" zoomScaleNormal="100" workbookViewId="0">
      <selection activeCell="H6" sqref="H6"/>
    </sheetView>
  </sheetViews>
  <sheetFormatPr defaultRowHeight="15.6" x14ac:dyDescent="0.3"/>
  <cols>
    <col min="1" max="1" width="24.1796875" customWidth="1"/>
    <col min="2" max="3" width="12.81640625" customWidth="1"/>
    <col min="4" max="4" width="11.36328125" customWidth="1"/>
    <col min="5" max="5" width="12.1796875" customWidth="1"/>
    <col min="6" max="6" width="12.36328125" customWidth="1"/>
  </cols>
  <sheetData>
    <row r="1" spans="1:6" ht="22.8" x14ac:dyDescent="0.4">
      <c r="A1" s="349" t="s">
        <v>228</v>
      </c>
      <c r="B1" s="350"/>
      <c r="C1" s="350"/>
      <c r="D1" s="350"/>
      <c r="E1" s="350"/>
      <c r="F1" s="350"/>
    </row>
    <row r="2" spans="1:6" ht="22.8" x14ac:dyDescent="0.4">
      <c r="A2" s="349" t="s">
        <v>229</v>
      </c>
      <c r="B2" s="350"/>
      <c r="C2" s="350"/>
      <c r="D2" s="350"/>
      <c r="E2" s="350"/>
      <c r="F2" s="350"/>
    </row>
    <row r="3" spans="1:6" ht="22.8" x14ac:dyDescent="0.4">
      <c r="A3" s="349" t="s">
        <v>230</v>
      </c>
      <c r="B3" s="350"/>
      <c r="C3" s="350"/>
      <c r="D3" s="350"/>
      <c r="E3" s="350"/>
      <c r="F3" s="350"/>
    </row>
    <row r="4" spans="1:6" ht="22.8" x14ac:dyDescent="0.4">
      <c r="A4" s="349" t="s">
        <v>231</v>
      </c>
      <c r="B4" s="350"/>
      <c r="C4" s="350"/>
      <c r="D4" s="350"/>
      <c r="E4" s="350"/>
      <c r="F4" s="350"/>
    </row>
    <row r="5" spans="1:6" ht="22.8" x14ac:dyDescent="0.4">
      <c r="A5" s="351"/>
      <c r="B5" s="350"/>
      <c r="C5" s="350"/>
      <c r="D5" s="350"/>
      <c r="E5" s="350"/>
      <c r="F5" s="350"/>
    </row>
    <row r="6" spans="1:6" ht="22.8" x14ac:dyDescent="0.4">
      <c r="A6" s="352" t="s">
        <v>232</v>
      </c>
      <c r="B6" s="350"/>
      <c r="C6" s="350"/>
      <c r="D6" s="350"/>
      <c r="E6" s="350"/>
      <c r="F6" s="350"/>
    </row>
    <row r="7" spans="1:6" ht="22.8" x14ac:dyDescent="0.4">
      <c r="A7" s="350"/>
      <c r="B7" s="353"/>
      <c r="C7" s="353"/>
      <c r="D7" s="350"/>
      <c r="E7" s="350"/>
      <c r="F7" s="350"/>
    </row>
    <row r="8" spans="1:6" s="3" customFormat="1" ht="22.8" x14ac:dyDescent="0.4">
      <c r="A8" s="350"/>
      <c r="B8" s="354"/>
      <c r="C8" s="354"/>
      <c r="D8" s="355"/>
      <c r="E8" s="355"/>
      <c r="F8" s="354"/>
    </row>
    <row r="9" spans="1:6" ht="22.8" x14ac:dyDescent="0.4">
      <c r="A9" s="356" t="s">
        <v>233</v>
      </c>
      <c r="B9" s="356"/>
      <c r="C9" s="356"/>
      <c r="D9" s="357"/>
      <c r="E9" s="357">
        <v>600000</v>
      </c>
      <c r="F9" s="358" t="s">
        <v>234</v>
      </c>
    </row>
    <row r="10" spans="1:6" ht="22.8" x14ac:dyDescent="0.4">
      <c r="A10" s="350"/>
      <c r="B10" s="359"/>
      <c r="C10" s="359"/>
      <c r="D10" s="350"/>
      <c r="E10" s="350"/>
      <c r="F10" s="350"/>
    </row>
    <row r="11" spans="1:6" ht="22.8" x14ac:dyDescent="0.4">
      <c r="A11" s="360" t="s">
        <v>235</v>
      </c>
      <c r="B11" s="354"/>
      <c r="C11" s="350"/>
      <c r="D11" s="350"/>
      <c r="E11" s="350"/>
      <c r="F11" s="350"/>
    </row>
    <row r="12" spans="1:6" ht="22.8" x14ac:dyDescent="0.4">
      <c r="A12" s="350" t="s">
        <v>236</v>
      </c>
      <c r="B12" s="361">
        <v>0.25</v>
      </c>
      <c r="C12" s="350"/>
      <c r="D12" s="350"/>
      <c r="E12" s="350"/>
      <c r="F12" s="350"/>
    </row>
    <row r="13" spans="1:6" ht="22.8" x14ac:dyDescent="0.4">
      <c r="A13" s="350" t="s">
        <v>237</v>
      </c>
      <c r="B13" s="361">
        <v>0.25</v>
      </c>
      <c r="C13" s="350"/>
      <c r="D13" s="350"/>
      <c r="E13" s="350"/>
      <c r="F13" s="350"/>
    </row>
    <row r="14" spans="1:6" ht="22.8" x14ac:dyDescent="0.4">
      <c r="A14" s="350" t="s">
        <v>238</v>
      </c>
      <c r="B14" s="361">
        <v>0.25</v>
      </c>
      <c r="C14" s="350"/>
      <c r="D14" s="350"/>
      <c r="E14" s="350"/>
      <c r="F14" s="350"/>
    </row>
    <row r="15" spans="1:6" ht="22.8" x14ac:dyDescent="0.4">
      <c r="A15" s="350" t="s">
        <v>239</v>
      </c>
      <c r="B15" s="361">
        <v>0.25</v>
      </c>
      <c r="C15" s="350"/>
      <c r="D15" s="350"/>
      <c r="E15" s="350"/>
      <c r="F15" s="350"/>
    </row>
    <row r="16" spans="1:6" ht="22.8" x14ac:dyDescent="0.4">
      <c r="A16" s="350"/>
      <c r="B16" s="350"/>
      <c r="C16" s="350"/>
      <c r="D16" s="350"/>
      <c r="E16" s="350"/>
      <c r="F16" s="350"/>
    </row>
    <row r="17" spans="1:6" ht="22.8" x14ac:dyDescent="0.4">
      <c r="A17" s="350"/>
      <c r="B17" s="350"/>
      <c r="C17" s="350"/>
      <c r="D17" s="350"/>
      <c r="E17" s="350"/>
      <c r="F17" s="350"/>
    </row>
    <row r="18" spans="1:6" ht="27.6" x14ac:dyDescent="0.6">
      <c r="A18" s="362" t="s">
        <v>240</v>
      </c>
      <c r="B18" s="350"/>
      <c r="C18" s="350"/>
      <c r="D18" s="350"/>
      <c r="E18" s="350"/>
      <c r="F18" s="350"/>
    </row>
    <row r="19" spans="1:6" ht="22.8" x14ac:dyDescent="0.4">
      <c r="A19" s="350" t="s">
        <v>241</v>
      </c>
      <c r="B19" s="350" t="s">
        <v>242</v>
      </c>
      <c r="C19" s="363">
        <v>477</v>
      </c>
      <c r="D19" s="350"/>
      <c r="E19" s="350"/>
      <c r="F19" s="350"/>
    </row>
    <row r="20" spans="1:6" ht="22.8" x14ac:dyDescent="0.4">
      <c r="A20" s="350" t="s">
        <v>243</v>
      </c>
      <c r="B20" s="350" t="s">
        <v>242</v>
      </c>
      <c r="C20" s="362">
        <v>818.6</v>
      </c>
      <c r="D20" s="350"/>
      <c r="E20" s="350"/>
      <c r="F20" s="350"/>
    </row>
    <row r="21" spans="1:6" ht="22.8" x14ac:dyDescent="0.4">
      <c r="A21" s="350" t="s">
        <v>244</v>
      </c>
      <c r="B21" s="350" t="s">
        <v>242</v>
      </c>
      <c r="C21" s="362">
        <f>C19+C20</f>
        <v>1295.5999999999999</v>
      </c>
      <c r="D21" s="350" t="s">
        <v>245</v>
      </c>
      <c r="E21" s="350"/>
      <c r="F21" s="350"/>
    </row>
    <row r="22" spans="1:6" ht="22.8" x14ac:dyDescent="0.4">
      <c r="A22" s="350"/>
      <c r="B22" s="350"/>
      <c r="C22" s="364">
        <f>C21/2000</f>
        <v>0.64779999999999993</v>
      </c>
      <c r="D22" s="350" t="s">
        <v>246</v>
      </c>
      <c r="E22" s="350"/>
      <c r="F22" s="350"/>
    </row>
    <row r="26" spans="1:6" x14ac:dyDescent="0.3">
      <c r="E26" s="182"/>
    </row>
  </sheetData>
  <phoneticPr fontId="0" type="noConversion"/>
  <pageMargins left="0.75" right="0.75" top="1" bottom="1" header="0.5" footer="0.5"/>
  <pageSetup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1"/>
  <sheetViews>
    <sheetView view="pageBreakPreview" zoomScale="60" zoomScaleNormal="100" workbookViewId="0">
      <selection activeCell="M21" sqref="M21"/>
    </sheetView>
  </sheetViews>
  <sheetFormatPr defaultRowHeight="15.6" x14ac:dyDescent="0.3"/>
  <cols>
    <col min="1" max="1" width="23.1796875" customWidth="1"/>
    <col min="2" max="2" width="13.08984375" customWidth="1"/>
    <col min="3" max="3" width="8.453125" customWidth="1"/>
    <col min="4" max="4" width="3.6328125" customWidth="1"/>
    <col min="5" max="5" width="16.6328125" customWidth="1"/>
    <col min="9" max="9" width="25.36328125" customWidth="1"/>
  </cols>
  <sheetData>
    <row r="1" spans="1:10" ht="18" x14ac:dyDescent="0.35">
      <c r="A1" s="365" t="s">
        <v>228</v>
      </c>
      <c r="B1" s="181"/>
      <c r="C1" s="181"/>
      <c r="D1" s="181"/>
      <c r="E1" s="181"/>
      <c r="F1" s="181"/>
      <c r="G1" s="181"/>
      <c r="H1" s="181"/>
      <c r="I1" s="181"/>
      <c r="J1" s="181"/>
    </row>
    <row r="2" spans="1:10" ht="18" x14ac:dyDescent="0.35">
      <c r="A2" s="365" t="s">
        <v>229</v>
      </c>
      <c r="B2" s="181"/>
      <c r="C2" s="181"/>
      <c r="D2" s="181"/>
      <c r="E2" s="181"/>
      <c r="F2" s="181"/>
      <c r="G2" s="181"/>
      <c r="H2" s="181"/>
      <c r="I2" s="181"/>
      <c r="J2" s="181"/>
    </row>
    <row r="3" spans="1:10" ht="18" x14ac:dyDescent="0.35">
      <c r="A3" s="365" t="s">
        <v>230</v>
      </c>
      <c r="B3" s="181"/>
      <c r="C3" s="181"/>
      <c r="D3" s="181"/>
      <c r="E3" s="181"/>
      <c r="F3" s="181"/>
      <c r="G3" s="181"/>
      <c r="H3" s="181"/>
      <c r="I3" s="181"/>
      <c r="J3" s="181"/>
    </row>
    <row r="4" spans="1:10" ht="18" x14ac:dyDescent="0.35">
      <c r="A4" s="365" t="s">
        <v>231</v>
      </c>
      <c r="B4" s="181"/>
      <c r="C4" s="181"/>
      <c r="D4" s="181"/>
      <c r="E4" s="181"/>
      <c r="F4" s="181"/>
      <c r="G4" s="181"/>
      <c r="H4" s="181"/>
      <c r="I4" s="181"/>
      <c r="J4" s="181"/>
    </row>
    <row r="5" spans="1:10" ht="18" x14ac:dyDescent="0.35">
      <c r="A5" s="366"/>
      <c r="B5" s="181"/>
      <c r="C5" s="181"/>
      <c r="D5" s="181"/>
      <c r="E5" s="181"/>
      <c r="F5" s="181"/>
      <c r="G5" s="181"/>
      <c r="H5" s="181"/>
      <c r="I5" s="181"/>
      <c r="J5" s="181"/>
    </row>
    <row r="6" spans="1:10" ht="25.5" customHeight="1" x14ac:dyDescent="0.35">
      <c r="A6" s="184" t="s">
        <v>247</v>
      </c>
      <c r="B6" s="367"/>
      <c r="C6" s="367"/>
      <c r="D6" s="181"/>
      <c r="E6" s="181"/>
      <c r="F6" s="181"/>
      <c r="G6" s="181"/>
      <c r="H6" s="181"/>
      <c r="I6" s="181"/>
      <c r="J6" s="181"/>
    </row>
    <row r="7" spans="1:10" ht="15" customHeight="1" x14ac:dyDescent="0.35">
      <c r="A7" s="563"/>
      <c r="B7" s="367"/>
      <c r="C7" s="367"/>
      <c r="D7" s="181"/>
      <c r="E7" s="181"/>
      <c r="F7" s="181"/>
      <c r="G7" s="181"/>
      <c r="H7" s="181"/>
      <c r="I7" s="181"/>
      <c r="J7" s="181"/>
    </row>
    <row r="8" spans="1:10" ht="15" customHeight="1" x14ac:dyDescent="0.35">
      <c r="A8" s="181"/>
      <c r="B8" s="181"/>
      <c r="C8" s="181"/>
      <c r="D8" s="181"/>
      <c r="E8" s="181"/>
      <c r="F8" s="181"/>
      <c r="G8" s="181"/>
      <c r="H8" s="181"/>
      <c r="I8" s="181"/>
      <c r="J8" s="181"/>
    </row>
    <row r="9" spans="1:10" ht="18" x14ac:dyDescent="0.35">
      <c r="A9" s="181" t="s">
        <v>248</v>
      </c>
      <c r="B9" s="181"/>
      <c r="C9" s="181"/>
      <c r="D9" s="181"/>
      <c r="E9" s="181"/>
      <c r="F9" s="181"/>
      <c r="G9" s="181"/>
      <c r="H9" s="181"/>
      <c r="I9" s="366"/>
      <c r="J9" s="181"/>
    </row>
    <row r="10" spans="1:10" ht="18" x14ac:dyDescent="0.35">
      <c r="A10" s="181" t="s">
        <v>249</v>
      </c>
      <c r="B10" s="181"/>
      <c r="C10" s="181"/>
      <c r="D10" s="181"/>
      <c r="E10" s="181"/>
      <c r="F10" s="181"/>
      <c r="G10" s="181"/>
      <c r="H10" s="181"/>
      <c r="I10" s="366"/>
      <c r="J10" s="181"/>
    </row>
    <row r="11" spans="1:10" ht="18" x14ac:dyDescent="0.35">
      <c r="A11" s="181"/>
      <c r="B11" s="181"/>
      <c r="C11" s="181"/>
      <c r="D11" s="181"/>
      <c r="E11" s="181"/>
      <c r="F11" s="181"/>
      <c r="G11" s="181"/>
      <c r="H11" s="181"/>
      <c r="I11" s="366"/>
      <c r="J11" s="181"/>
    </row>
    <row r="12" spans="1:10" ht="18" x14ac:dyDescent="0.35">
      <c r="A12" s="184" t="s">
        <v>250</v>
      </c>
      <c r="B12" s="368">
        <v>3000</v>
      </c>
      <c r="C12" s="368" t="s">
        <v>251</v>
      </c>
      <c r="D12" s="180" t="s">
        <v>242</v>
      </c>
      <c r="E12" s="369">
        <f>B12*3.78/454000</f>
        <v>2.4977973568281939E-2</v>
      </c>
      <c r="F12" s="180" t="s">
        <v>252</v>
      </c>
      <c r="G12" s="181"/>
      <c r="H12" s="181"/>
      <c r="I12" s="181"/>
      <c r="J12" s="181"/>
    </row>
    <row r="13" spans="1:10" ht="18" x14ac:dyDescent="0.35">
      <c r="A13" s="181" t="s">
        <v>253</v>
      </c>
      <c r="B13" s="181"/>
      <c r="C13" s="181"/>
      <c r="D13" s="181" t="s">
        <v>242</v>
      </c>
      <c r="E13" s="370">
        <v>5.0000000000000004E-6</v>
      </c>
      <c r="F13" s="181" t="s">
        <v>254</v>
      </c>
      <c r="G13" s="181"/>
      <c r="H13" s="181"/>
      <c r="I13" s="181"/>
      <c r="J13" s="181"/>
    </row>
    <row r="14" spans="1:10" ht="18" x14ac:dyDescent="0.35">
      <c r="A14" s="181" t="s">
        <v>255</v>
      </c>
      <c r="B14" s="181"/>
      <c r="C14" s="181"/>
      <c r="D14" s="181" t="s">
        <v>242</v>
      </c>
      <c r="E14" s="371">
        <v>87720</v>
      </c>
      <c r="F14" s="181" t="s">
        <v>256</v>
      </c>
      <c r="G14" s="181"/>
      <c r="H14" s="181"/>
      <c r="I14" s="181"/>
      <c r="J14" s="181"/>
    </row>
    <row r="15" spans="1:10" ht="18" x14ac:dyDescent="0.35">
      <c r="A15" s="181" t="s">
        <v>257</v>
      </c>
      <c r="B15" s="181"/>
      <c r="C15" s="181"/>
      <c r="D15" s="181" t="s">
        <v>242</v>
      </c>
      <c r="E15" s="372">
        <v>2.0000000000000001E-4</v>
      </c>
      <c r="F15" s="181" t="s">
        <v>258</v>
      </c>
      <c r="G15" s="181"/>
      <c r="H15" s="181"/>
      <c r="I15" s="181"/>
      <c r="J15" s="181"/>
    </row>
    <row r="16" spans="1:10" ht="18" x14ac:dyDescent="0.35">
      <c r="A16" s="181" t="s">
        <v>259</v>
      </c>
      <c r="B16" s="181"/>
      <c r="C16" s="181"/>
      <c r="D16" s="181" t="s">
        <v>242</v>
      </c>
      <c r="E16" s="372">
        <f>(E15-E13)/E15</f>
        <v>0.97499999999999998</v>
      </c>
      <c r="F16" s="181" t="s">
        <v>260</v>
      </c>
      <c r="G16" s="181"/>
      <c r="H16" s="181"/>
      <c r="I16" s="181"/>
      <c r="J16" s="181"/>
    </row>
    <row r="17" spans="1:10" ht="18" x14ac:dyDescent="0.35">
      <c r="A17" s="181"/>
      <c r="B17" s="181"/>
      <c r="C17" s="181"/>
      <c r="D17" s="181"/>
      <c r="E17" s="181"/>
      <c r="F17" s="181"/>
      <c r="G17" s="181"/>
      <c r="H17" s="181"/>
      <c r="I17" s="181"/>
      <c r="J17" s="181"/>
    </row>
    <row r="18" spans="1:10" ht="18" x14ac:dyDescent="0.35">
      <c r="A18" s="181" t="s">
        <v>261</v>
      </c>
      <c r="B18" s="181"/>
      <c r="C18" s="181"/>
      <c r="D18" s="181"/>
      <c r="E18" s="181"/>
      <c r="F18" s="181"/>
      <c r="G18" s="181"/>
      <c r="H18" s="181"/>
      <c r="I18" s="181"/>
      <c r="J18" s="181"/>
    </row>
    <row r="19" spans="1:10" ht="18" x14ac:dyDescent="0.35">
      <c r="A19" s="181" t="s">
        <v>262</v>
      </c>
      <c r="B19" s="181"/>
      <c r="C19" s="181"/>
      <c r="D19" s="181"/>
      <c r="E19" s="181"/>
      <c r="F19" s="181"/>
      <c r="G19" s="181"/>
      <c r="H19" s="181"/>
      <c r="I19" s="181"/>
      <c r="J19" s="181"/>
    </row>
    <row r="20" spans="1:10" ht="18" x14ac:dyDescent="0.35">
      <c r="A20" s="181"/>
      <c r="B20" s="181"/>
      <c r="C20" s="181"/>
      <c r="D20" s="181"/>
      <c r="E20" s="181"/>
      <c r="F20" s="181"/>
      <c r="G20" s="181"/>
      <c r="H20" s="181"/>
      <c r="I20" s="181"/>
      <c r="J20" s="181"/>
    </row>
    <row r="21" spans="1:10" ht="18" x14ac:dyDescent="0.35">
      <c r="A21" s="181" t="s">
        <v>263</v>
      </c>
      <c r="B21" s="181"/>
      <c r="C21" s="181"/>
      <c r="D21" s="181" t="s">
        <v>242</v>
      </c>
      <c r="E21" s="180">
        <v>8760</v>
      </c>
      <c r="F21" s="181" t="s">
        <v>17</v>
      </c>
      <c r="G21" s="181"/>
      <c r="H21" s="181"/>
      <c r="I21" s="181"/>
      <c r="J21" s="181"/>
    </row>
    <row r="22" spans="1:10" ht="18" x14ac:dyDescent="0.35">
      <c r="A22" s="181" t="s">
        <v>264</v>
      </c>
      <c r="B22" s="181"/>
      <c r="C22" s="181"/>
      <c r="D22" s="181" t="s">
        <v>242</v>
      </c>
      <c r="E22" s="371">
        <f>E14*60*E21</f>
        <v>46105632000</v>
      </c>
      <c r="F22" s="181" t="s">
        <v>265</v>
      </c>
      <c r="G22" s="181"/>
      <c r="H22" s="181"/>
      <c r="I22" s="181"/>
      <c r="J22" s="181"/>
    </row>
    <row r="23" spans="1:10" ht="18" x14ac:dyDescent="0.35">
      <c r="A23" s="181"/>
      <c r="B23" s="181"/>
      <c r="C23" s="181"/>
      <c r="D23" s="181"/>
      <c r="E23" s="181"/>
      <c r="F23" s="181"/>
      <c r="G23" s="181"/>
      <c r="H23" s="181"/>
      <c r="I23" s="181"/>
      <c r="J23" s="181"/>
    </row>
    <row r="24" spans="1:10" ht="18" x14ac:dyDescent="0.35">
      <c r="A24" s="181"/>
      <c r="B24" s="181"/>
      <c r="C24" s="181"/>
      <c r="D24" s="181"/>
      <c r="E24" s="181"/>
      <c r="F24" s="181"/>
      <c r="G24" s="181"/>
      <c r="H24" s="181"/>
      <c r="I24" s="181"/>
      <c r="J24" s="181"/>
    </row>
    <row r="25" spans="1:10" ht="18" x14ac:dyDescent="0.35">
      <c r="A25" s="181" t="s">
        <v>266</v>
      </c>
      <c r="B25" s="181"/>
      <c r="C25" s="181"/>
      <c r="D25" s="181" t="s">
        <v>242</v>
      </c>
      <c r="E25" s="371">
        <f>E22*E15</f>
        <v>9221126.4000000004</v>
      </c>
      <c r="F25" s="181" t="s">
        <v>265</v>
      </c>
      <c r="G25" s="181" t="s">
        <v>267</v>
      </c>
      <c r="H25" s="181"/>
      <c r="I25" s="181"/>
      <c r="J25" s="181"/>
    </row>
    <row r="26" spans="1:10" ht="18" x14ac:dyDescent="0.35">
      <c r="A26" s="181" t="s">
        <v>268</v>
      </c>
      <c r="B26" s="181"/>
      <c r="C26" s="181"/>
      <c r="D26" s="181" t="s">
        <v>242</v>
      </c>
      <c r="E26" s="371">
        <f>E12*E25</f>
        <v>230325.05148898679</v>
      </c>
      <c r="F26" s="181" t="s">
        <v>245</v>
      </c>
      <c r="G26" s="181" t="s">
        <v>269</v>
      </c>
      <c r="H26" s="181"/>
      <c r="I26" s="181"/>
      <c r="J26" s="181"/>
    </row>
    <row r="27" spans="1:10" ht="18" x14ac:dyDescent="0.35">
      <c r="A27" s="181" t="s">
        <v>270</v>
      </c>
      <c r="B27" s="181"/>
      <c r="C27" s="181"/>
      <c r="D27" s="181" t="s">
        <v>242</v>
      </c>
      <c r="E27" s="371">
        <f>E22*E13</f>
        <v>230528.16000000003</v>
      </c>
      <c r="F27" s="181" t="s">
        <v>265</v>
      </c>
      <c r="G27" s="181"/>
      <c r="H27" s="181"/>
      <c r="I27" s="181"/>
      <c r="J27" s="181"/>
    </row>
    <row r="28" spans="1:10" ht="18" x14ac:dyDescent="0.35">
      <c r="A28" s="181" t="s">
        <v>271</v>
      </c>
      <c r="B28" s="181"/>
      <c r="C28" s="181"/>
      <c r="D28" s="181" t="s">
        <v>242</v>
      </c>
      <c r="E28" s="369">
        <f>E12</f>
        <v>2.4977973568281939E-2</v>
      </c>
      <c r="F28" s="181" t="s">
        <v>252</v>
      </c>
      <c r="G28" s="181" t="s">
        <v>272</v>
      </c>
      <c r="H28" s="181"/>
      <c r="I28" s="181"/>
      <c r="J28" s="181"/>
    </row>
    <row r="29" spans="1:10" ht="18" x14ac:dyDescent="0.35">
      <c r="A29" s="181" t="s">
        <v>268</v>
      </c>
      <c r="B29" s="181"/>
      <c r="C29" s="181"/>
      <c r="D29" s="181"/>
      <c r="E29" s="371">
        <f>E27*E28</f>
        <v>5758.1262872246707</v>
      </c>
      <c r="F29" s="181" t="s">
        <v>245</v>
      </c>
      <c r="G29" s="181" t="s">
        <v>273</v>
      </c>
      <c r="H29" s="181"/>
      <c r="I29" s="181"/>
      <c r="J29" s="181"/>
    </row>
    <row r="30" spans="1:10" ht="18" x14ac:dyDescent="0.35">
      <c r="A30" s="181"/>
      <c r="B30" s="181"/>
      <c r="C30" s="181"/>
      <c r="D30" s="181"/>
      <c r="E30" s="373">
        <f>E29/2000</f>
        <v>2.8790631436123353</v>
      </c>
      <c r="F30" s="374" t="s">
        <v>23</v>
      </c>
      <c r="G30" s="180" t="s">
        <v>274</v>
      </c>
      <c r="H30" s="180"/>
      <c r="I30" s="180"/>
      <c r="J30" s="181"/>
    </row>
    <row r="31" spans="1:10" ht="20.399999999999999" x14ac:dyDescent="0.45">
      <c r="A31" s="181"/>
      <c r="B31" s="181"/>
      <c r="C31" s="181"/>
      <c r="D31" s="181"/>
      <c r="E31" s="180"/>
      <c r="F31" s="180"/>
      <c r="G31" s="180" t="s">
        <v>275</v>
      </c>
      <c r="H31" s="180"/>
      <c r="I31" s="180"/>
      <c r="J31" s="181"/>
    </row>
    <row r="32" spans="1:10" ht="18" x14ac:dyDescent="0.35">
      <c r="A32" s="181"/>
      <c r="B32" s="181"/>
      <c r="C32" s="181"/>
      <c r="D32" s="181"/>
      <c r="E32" s="181"/>
      <c r="F32" s="181"/>
      <c r="G32" s="181"/>
      <c r="H32" s="181"/>
      <c r="I32" s="181"/>
      <c r="J32" s="181"/>
    </row>
    <row r="33" spans="1:10" ht="18" x14ac:dyDescent="0.35">
      <c r="A33" s="181"/>
      <c r="B33" s="181"/>
      <c r="C33" s="181"/>
      <c r="D33" s="181"/>
      <c r="E33" s="181"/>
      <c r="F33" s="181"/>
      <c r="G33" s="181"/>
      <c r="H33" s="181"/>
      <c r="I33" s="181"/>
      <c r="J33" s="181"/>
    </row>
    <row r="34" spans="1:10" x14ac:dyDescent="0.3">
      <c r="A34" s="45"/>
      <c r="B34" s="45"/>
      <c r="C34" s="45"/>
    </row>
    <row r="35" spans="1:10" x14ac:dyDescent="0.3">
      <c r="A35" s="45"/>
      <c r="B35" s="45"/>
      <c r="C35" s="45"/>
    </row>
    <row r="36" spans="1:10" x14ac:dyDescent="0.3">
      <c r="A36" s="45"/>
      <c r="B36" s="125"/>
      <c r="C36" s="45"/>
    </row>
    <row r="37" spans="1:10" x14ac:dyDescent="0.3">
      <c r="A37" s="124"/>
      <c r="B37" s="126"/>
      <c r="C37" s="11"/>
    </row>
    <row r="38" spans="1:10" x14ac:dyDescent="0.3">
      <c r="A38" s="90"/>
      <c r="B38" s="87"/>
      <c r="C38" s="91"/>
    </row>
    <row r="39" spans="1:10" x14ac:dyDescent="0.3">
      <c r="A39" s="90"/>
      <c r="B39" s="87"/>
      <c r="C39" s="91"/>
    </row>
    <row r="40" spans="1:10" x14ac:dyDescent="0.3">
      <c r="A40" s="90"/>
      <c r="B40" s="87"/>
      <c r="C40" s="91"/>
    </row>
    <row r="41" spans="1:10" x14ac:dyDescent="0.3">
      <c r="A41" s="90"/>
      <c r="B41" s="87"/>
      <c r="C41" s="91"/>
    </row>
    <row r="42" spans="1:10" x14ac:dyDescent="0.3">
      <c r="A42" s="90"/>
      <c r="B42" s="87"/>
      <c r="C42" s="91"/>
    </row>
    <row r="43" spans="1:10" x14ac:dyDescent="0.3">
      <c r="A43" s="90"/>
      <c r="B43" s="87"/>
      <c r="C43" s="91"/>
    </row>
    <row r="44" spans="1:10" x14ac:dyDescent="0.3">
      <c r="A44" s="90"/>
      <c r="B44" s="87"/>
      <c r="C44" s="91"/>
    </row>
    <row r="45" spans="1:10" x14ac:dyDescent="0.3">
      <c r="A45" s="90"/>
      <c r="B45" s="87"/>
      <c r="C45" s="91"/>
    </row>
    <row r="46" spans="1:10" x14ac:dyDescent="0.3">
      <c r="A46" s="90"/>
      <c r="B46" s="87"/>
      <c r="C46" s="91"/>
    </row>
    <row r="47" spans="1:10" x14ac:dyDescent="0.3">
      <c r="A47" s="90"/>
      <c r="B47" s="87"/>
      <c r="C47" s="91"/>
    </row>
    <row r="48" spans="1:10" x14ac:dyDescent="0.3">
      <c r="A48" s="90"/>
      <c r="B48" s="87"/>
      <c r="C48" s="91"/>
    </row>
    <row r="49" spans="1:3" x14ac:dyDescent="0.3">
      <c r="A49" s="90"/>
      <c r="B49" s="87"/>
      <c r="C49" s="91"/>
    </row>
    <row r="50" spans="1:3" x14ac:dyDescent="0.3">
      <c r="B50" s="9"/>
    </row>
    <row r="51" spans="1:3" x14ac:dyDescent="0.3">
      <c r="A51" s="90"/>
      <c r="B51" s="92"/>
      <c r="C51" s="92"/>
    </row>
  </sheetData>
  <phoneticPr fontId="0" type="noConversion"/>
  <pageMargins left="0.75" right="0.75" top="1" bottom="1" header="0.5" footer="0.5"/>
  <pageSetup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view="pageBreakPreview" zoomScale="60" zoomScaleNormal="110" workbookViewId="0">
      <selection activeCell="H5" sqref="H5"/>
    </sheetView>
  </sheetViews>
  <sheetFormatPr defaultRowHeight="15.6" x14ac:dyDescent="0.3"/>
  <cols>
    <col min="1" max="1" width="10.54296875" customWidth="1"/>
    <col min="2" max="2" width="13" customWidth="1"/>
    <col min="3" max="3" width="13.1796875" customWidth="1"/>
    <col min="4" max="4" width="12.1796875" customWidth="1"/>
    <col min="5" max="5" width="12" customWidth="1"/>
    <col min="6" max="6" width="21.6328125" customWidth="1"/>
    <col min="7" max="7" width="11.6328125" customWidth="1"/>
    <col min="8" max="8" width="16.08984375" customWidth="1"/>
    <col min="9" max="9" width="13.1796875" customWidth="1"/>
    <col min="10" max="10" width="9.90625" customWidth="1"/>
    <col min="11" max="12" width="10.90625" customWidth="1"/>
    <col min="13" max="13" width="9.6328125" customWidth="1"/>
    <col min="14" max="14" width="9.1796875" customWidth="1"/>
    <col min="15" max="15" width="9.6328125" customWidth="1"/>
    <col min="16" max="19" width="0" hidden="1" customWidth="1"/>
    <col min="21" max="21" width="9.54296875" customWidth="1"/>
  </cols>
  <sheetData>
    <row r="1" spans="1:14" ht="18" x14ac:dyDescent="0.35">
      <c r="A1" s="180" t="s">
        <v>228</v>
      </c>
      <c r="B1" s="180"/>
      <c r="C1" s="180"/>
      <c r="D1" s="180"/>
      <c r="E1" s="180"/>
      <c r="F1" s="180"/>
      <c r="G1" s="180"/>
      <c r="H1" s="180"/>
      <c r="I1" s="180"/>
      <c r="J1" s="80"/>
      <c r="K1" s="80"/>
      <c r="L1" s="80"/>
      <c r="M1" s="80"/>
      <c r="N1" s="81"/>
    </row>
    <row r="2" spans="1:14" ht="18" x14ac:dyDescent="0.35">
      <c r="A2" s="180" t="s">
        <v>229</v>
      </c>
      <c r="B2" s="180"/>
      <c r="C2" s="180"/>
      <c r="D2" s="180"/>
      <c r="E2" s="180"/>
      <c r="F2" s="180"/>
      <c r="G2" s="180"/>
      <c r="H2" s="180"/>
      <c r="I2" s="180"/>
      <c r="J2" s="80"/>
      <c r="K2" s="80"/>
      <c r="L2" s="80"/>
      <c r="M2" s="80"/>
      <c r="N2" s="80"/>
    </row>
    <row r="3" spans="1:14" ht="18" x14ac:dyDescent="0.35">
      <c r="A3" s="180" t="s">
        <v>276</v>
      </c>
      <c r="B3" s="180"/>
      <c r="C3" s="180"/>
      <c r="D3" s="180"/>
      <c r="E3" s="180"/>
      <c r="F3" s="180"/>
      <c r="G3" s="180"/>
      <c r="H3" s="180"/>
      <c r="I3" s="180"/>
      <c r="J3" s="80"/>
      <c r="K3" s="80"/>
      <c r="L3" s="80"/>
      <c r="M3" s="80"/>
      <c r="N3" s="80"/>
    </row>
    <row r="4" spans="1:14" ht="18" x14ac:dyDescent="0.35">
      <c r="A4" s="375" t="s">
        <v>277</v>
      </c>
      <c r="B4" s="376"/>
      <c r="C4" s="376"/>
      <c r="D4" s="376"/>
      <c r="E4" s="180"/>
      <c r="F4" s="180"/>
      <c r="G4" s="180"/>
      <c r="H4" s="180"/>
      <c r="I4" s="180"/>
      <c r="J4" s="80"/>
      <c r="K4" s="80"/>
      <c r="L4" s="80"/>
      <c r="M4" s="80"/>
      <c r="N4" s="80"/>
    </row>
    <row r="5" spans="1:14" ht="18" x14ac:dyDescent="0.35">
      <c r="A5" s="180"/>
      <c r="B5" s="180"/>
      <c r="C5" s="180"/>
      <c r="D5" s="180"/>
      <c r="E5" s="180"/>
      <c r="F5" s="180"/>
      <c r="G5" s="180"/>
      <c r="H5" s="180"/>
      <c r="I5" s="180"/>
      <c r="J5" s="80"/>
      <c r="K5" s="80"/>
      <c r="L5" s="80"/>
      <c r="M5" s="80"/>
      <c r="N5" s="80"/>
    </row>
    <row r="6" spans="1:14" ht="18" x14ac:dyDescent="0.35">
      <c r="A6" s="377" t="s">
        <v>278</v>
      </c>
      <c r="B6" s="378"/>
      <c r="C6" s="378"/>
      <c r="D6" s="378"/>
      <c r="E6" s="181"/>
      <c r="F6" s="181"/>
      <c r="G6" s="181"/>
      <c r="H6" s="181"/>
      <c r="I6" s="181"/>
      <c r="N6" s="61"/>
    </row>
    <row r="7" spans="1:14" ht="20.25" customHeight="1" x14ac:dyDescent="0.35">
      <c r="A7" s="614" t="s">
        <v>279</v>
      </c>
      <c r="B7" s="614" t="s">
        <v>280</v>
      </c>
      <c r="C7" s="614" t="s">
        <v>281</v>
      </c>
      <c r="D7" s="614" t="s">
        <v>282</v>
      </c>
      <c r="E7" s="379"/>
      <c r="F7" s="380" t="s">
        <v>283</v>
      </c>
      <c r="G7" s="380" t="s">
        <v>284</v>
      </c>
      <c r="H7" s="380" t="s">
        <v>285</v>
      </c>
      <c r="I7" s="181"/>
    </row>
    <row r="8" spans="1:14" ht="16.5" customHeight="1" thickBot="1" x14ac:dyDescent="0.4">
      <c r="A8" s="615"/>
      <c r="B8" s="615"/>
      <c r="C8" s="615"/>
      <c r="D8" s="615"/>
      <c r="E8" s="181"/>
      <c r="F8" s="381" t="s">
        <v>286</v>
      </c>
      <c r="G8" s="381">
        <v>52</v>
      </c>
      <c r="H8" s="381">
        <v>52</v>
      </c>
      <c r="I8" s="563"/>
    </row>
    <row r="9" spans="1:14" ht="18.600000000000001" thickTop="1" x14ac:dyDescent="0.35">
      <c r="A9" s="379"/>
      <c r="B9" s="563"/>
      <c r="C9" s="563"/>
      <c r="D9" s="382"/>
      <c r="E9" s="181"/>
      <c r="F9" s="381" t="s">
        <v>287</v>
      </c>
      <c r="G9" s="381">
        <v>52</v>
      </c>
      <c r="H9" s="381">
        <v>52</v>
      </c>
      <c r="I9" s="563"/>
    </row>
    <row r="10" spans="1:14" ht="18" x14ac:dyDescent="0.35">
      <c r="A10" s="383"/>
      <c r="B10" s="617" t="s">
        <v>288</v>
      </c>
      <c r="C10" s="617"/>
      <c r="D10" s="618"/>
      <c r="E10" s="181"/>
      <c r="F10" s="381" t="s">
        <v>289</v>
      </c>
      <c r="G10" s="381">
        <v>52</v>
      </c>
      <c r="H10" s="381">
        <v>52</v>
      </c>
      <c r="I10" s="181"/>
    </row>
    <row r="11" spans="1:14" ht="18" x14ac:dyDescent="0.35">
      <c r="A11" s="384" t="s">
        <v>290</v>
      </c>
      <c r="B11" s="563">
        <v>181.21</v>
      </c>
      <c r="C11" s="563">
        <v>94.15</v>
      </c>
      <c r="D11" s="382">
        <v>78.05</v>
      </c>
      <c r="E11" s="181"/>
      <c r="F11" s="181"/>
      <c r="G11" s="181"/>
      <c r="H11" s="385"/>
      <c r="I11" s="181"/>
    </row>
    <row r="12" spans="1:14" ht="18" x14ac:dyDescent="0.35">
      <c r="A12" s="384" t="s">
        <v>291</v>
      </c>
      <c r="B12" s="563">
        <v>135.76</v>
      </c>
      <c r="C12" s="563">
        <v>68.900000000000006</v>
      </c>
      <c r="D12" s="382">
        <v>65.42</v>
      </c>
      <c r="E12" s="181"/>
      <c r="F12" s="380" t="s">
        <v>292</v>
      </c>
      <c r="G12" s="380" t="s">
        <v>284</v>
      </c>
      <c r="H12" s="380" t="s">
        <v>285</v>
      </c>
      <c r="I12" s="386"/>
    </row>
    <row r="13" spans="1:14" ht="18" x14ac:dyDescent="0.35">
      <c r="A13" s="384"/>
      <c r="B13" s="563"/>
      <c r="C13" s="563"/>
      <c r="D13" s="382"/>
      <c r="E13" s="181"/>
      <c r="F13" s="387" t="s">
        <v>286</v>
      </c>
      <c r="G13" s="381">
        <v>6.25</v>
      </c>
      <c r="H13" s="381">
        <v>6.25</v>
      </c>
      <c r="I13" s="386"/>
    </row>
    <row r="14" spans="1:14" ht="20.399999999999999" x14ac:dyDescent="0.35">
      <c r="A14" s="388"/>
      <c r="B14" s="617" t="s">
        <v>293</v>
      </c>
      <c r="C14" s="617"/>
      <c r="D14" s="618"/>
      <c r="E14" s="389"/>
      <c r="F14" s="387" t="s">
        <v>287</v>
      </c>
      <c r="G14" s="381">
        <v>3.75</v>
      </c>
      <c r="H14" s="381">
        <v>3.75</v>
      </c>
      <c r="I14" s="386"/>
    </row>
    <row r="15" spans="1:14" ht="16.5" customHeight="1" x14ac:dyDescent="0.35">
      <c r="A15" s="384" t="s">
        <v>290</v>
      </c>
      <c r="B15" s="563">
        <v>61.66</v>
      </c>
      <c r="C15" s="563">
        <v>37.26</v>
      </c>
      <c r="D15" s="382">
        <v>21.96</v>
      </c>
      <c r="E15" s="181"/>
      <c r="F15" s="387" t="s">
        <v>289</v>
      </c>
      <c r="G15" s="381">
        <v>2.5</v>
      </c>
      <c r="H15" s="381">
        <v>2.5</v>
      </c>
      <c r="I15" s="386"/>
    </row>
    <row r="16" spans="1:14" ht="18" x14ac:dyDescent="0.35">
      <c r="A16" s="390" t="s">
        <v>291</v>
      </c>
      <c r="B16" s="391">
        <v>39.01</v>
      </c>
      <c r="C16" s="391">
        <v>24.68</v>
      </c>
      <c r="D16" s="392">
        <v>15.67</v>
      </c>
      <c r="E16" s="181"/>
      <c r="F16" s="393" t="s">
        <v>294</v>
      </c>
      <c r="G16" s="180"/>
      <c r="H16" s="386"/>
      <c r="I16" s="386"/>
    </row>
    <row r="17" spans="1:10" ht="18" x14ac:dyDescent="0.35">
      <c r="A17" s="393" t="s">
        <v>295</v>
      </c>
      <c r="B17" s="181"/>
      <c r="C17" s="181"/>
      <c r="D17" s="181"/>
      <c r="E17" s="181"/>
      <c r="F17" s="181"/>
      <c r="G17" s="180"/>
      <c r="H17" s="386"/>
      <c r="I17" s="386"/>
      <c r="J17" s="61"/>
    </row>
    <row r="18" spans="1:10" ht="18" x14ac:dyDescent="0.35">
      <c r="A18" s="181"/>
      <c r="B18" s="181"/>
      <c r="C18" s="181"/>
      <c r="D18" s="181"/>
      <c r="E18" s="181"/>
      <c r="F18" s="394"/>
      <c r="G18" s="180"/>
      <c r="H18" s="616"/>
      <c r="I18" s="616"/>
      <c r="J18" s="61"/>
    </row>
    <row r="19" spans="1:10" ht="18.75" customHeight="1" x14ac:dyDescent="0.35">
      <c r="A19" s="611" t="s">
        <v>296</v>
      </c>
      <c r="B19" s="612"/>
      <c r="C19" s="612"/>
      <c r="D19" s="613"/>
      <c r="E19" s="181"/>
      <c r="F19" s="395" t="s">
        <v>297</v>
      </c>
      <c r="G19" s="562">
        <f>G13*G8</f>
        <v>325</v>
      </c>
      <c r="H19" s="616"/>
      <c r="I19" s="616"/>
    </row>
    <row r="20" spans="1:10" ht="18.75" customHeight="1" thickBot="1" x14ac:dyDescent="0.4">
      <c r="A20" s="396" t="s">
        <v>279</v>
      </c>
      <c r="B20" s="396" t="s">
        <v>298</v>
      </c>
      <c r="C20" s="396" t="s">
        <v>299</v>
      </c>
      <c r="D20" s="396" t="s">
        <v>300</v>
      </c>
      <c r="E20" s="181"/>
      <c r="F20" s="397" t="s">
        <v>301</v>
      </c>
      <c r="G20" s="398">
        <f>8760-G19</f>
        <v>8435</v>
      </c>
      <c r="H20" s="181"/>
      <c r="I20" s="181"/>
    </row>
    <row r="21" spans="1:10" ht="18.75" customHeight="1" thickTop="1" x14ac:dyDescent="0.35">
      <c r="A21" s="609">
        <v>3</v>
      </c>
      <c r="B21" s="399" t="s">
        <v>302</v>
      </c>
      <c r="C21" s="400">
        <f>(B11*G8)/2000</f>
        <v>4.7114599999999998</v>
      </c>
      <c r="D21" s="401">
        <f>(B15*G8)/2000</f>
        <v>1.6031599999999999</v>
      </c>
      <c r="E21" s="563" t="s">
        <v>303</v>
      </c>
      <c r="F21" s="181"/>
      <c r="G21" s="181"/>
      <c r="H21" s="181"/>
      <c r="I21" s="181"/>
    </row>
    <row r="22" spans="1:10" ht="18.75" customHeight="1" x14ac:dyDescent="0.35">
      <c r="A22" s="610"/>
      <c r="B22" s="381" t="s">
        <v>304</v>
      </c>
      <c r="C22" s="402">
        <f>(C11*G9)/2000</f>
        <v>2.4479000000000002</v>
      </c>
      <c r="D22" s="403">
        <f>(C15*G9)/2000</f>
        <v>0.96875999999999995</v>
      </c>
      <c r="E22" s="563" t="s">
        <v>305</v>
      </c>
      <c r="F22" s="394"/>
      <c r="G22" s="181"/>
      <c r="H22" s="181"/>
      <c r="I22" s="181"/>
    </row>
    <row r="23" spans="1:10" ht="18.75" customHeight="1" x14ac:dyDescent="0.35">
      <c r="A23" s="610"/>
      <c r="B23" s="381" t="s">
        <v>306</v>
      </c>
      <c r="C23" s="402">
        <f>(D11*G10)/2000</f>
        <v>2.0293000000000001</v>
      </c>
      <c r="D23" s="403">
        <f>(D15*G10)/2000</f>
        <v>0.57096000000000002</v>
      </c>
      <c r="E23" s="404">
        <f>SUM(C21:C23)</f>
        <v>9.1886599999999987</v>
      </c>
      <c r="F23" s="181"/>
      <c r="G23" s="181"/>
      <c r="H23" s="181"/>
      <c r="I23" s="181"/>
    </row>
    <row r="24" spans="1:10" ht="18.75" customHeight="1" x14ac:dyDescent="0.35">
      <c r="A24" s="610">
        <v>4</v>
      </c>
      <c r="B24" s="381" t="s">
        <v>302</v>
      </c>
      <c r="C24" s="402">
        <f>(B12*H8)/2000</f>
        <v>3.5297599999999996</v>
      </c>
      <c r="D24" s="403">
        <f>(B16*H8)/2000</f>
        <v>1.0142599999999999</v>
      </c>
      <c r="E24" s="563"/>
      <c r="F24" s="181"/>
      <c r="G24" s="181"/>
      <c r="H24" s="181"/>
      <c r="I24" s="181"/>
    </row>
    <row r="25" spans="1:10" ht="18.75" customHeight="1" x14ac:dyDescent="0.35">
      <c r="A25" s="610"/>
      <c r="B25" s="381" t="s">
        <v>304</v>
      </c>
      <c r="C25" s="402">
        <f>(C12*H9)/2000</f>
        <v>1.7914000000000001</v>
      </c>
      <c r="D25" s="403">
        <f>(C16*H9)/2000</f>
        <v>0.64167999999999992</v>
      </c>
      <c r="E25" s="563" t="s">
        <v>307</v>
      </c>
      <c r="F25" s="181"/>
      <c r="G25" s="181"/>
      <c r="H25" s="181"/>
      <c r="I25" s="181"/>
    </row>
    <row r="26" spans="1:10" ht="18.75" customHeight="1" x14ac:dyDescent="0.35">
      <c r="A26" s="610"/>
      <c r="B26" s="381" t="s">
        <v>306</v>
      </c>
      <c r="C26" s="402">
        <f>(D12*H10)/2000</f>
        <v>1.70092</v>
      </c>
      <c r="D26" s="403">
        <f>(D16*H10)/2000</f>
        <v>0.40742</v>
      </c>
      <c r="E26" s="404">
        <f>SUM(C24:C26)</f>
        <v>7.0220799999999999</v>
      </c>
      <c r="F26" s="181"/>
      <c r="G26" s="181"/>
      <c r="H26" s="181"/>
      <c r="I26" s="181"/>
    </row>
    <row r="27" spans="1:10" ht="18" x14ac:dyDescent="0.35">
      <c r="A27" s="405"/>
      <c r="B27" s="406"/>
      <c r="C27" s="406"/>
      <c r="D27" s="406"/>
      <c r="E27" s="181"/>
      <c r="F27" s="181"/>
      <c r="G27" s="181"/>
      <c r="H27" s="181"/>
      <c r="I27" s="181"/>
    </row>
    <row r="28" spans="1:10" ht="20.25" customHeight="1" x14ac:dyDescent="0.35">
      <c r="A28" s="181"/>
      <c r="B28" s="181"/>
      <c r="C28" s="181"/>
      <c r="D28" s="181"/>
      <c r="E28" s="563" t="s">
        <v>308</v>
      </c>
      <c r="F28" s="181"/>
      <c r="G28" s="181"/>
      <c r="H28" s="181"/>
      <c r="I28" s="181"/>
    </row>
    <row r="29" spans="1:10" ht="19.5" customHeight="1" x14ac:dyDescent="0.35">
      <c r="A29" s="181"/>
      <c r="B29" s="181"/>
      <c r="C29" s="181"/>
      <c r="D29" s="181"/>
      <c r="E29" s="407">
        <f>SUM(D21:D23)</f>
        <v>3.1428799999999999</v>
      </c>
      <c r="F29" s="181"/>
      <c r="G29" s="181"/>
      <c r="H29" s="181"/>
      <c r="I29" s="181"/>
    </row>
    <row r="30" spans="1:10" ht="18.75" customHeight="1" x14ac:dyDescent="0.35">
      <c r="A30" s="181"/>
      <c r="B30" s="181"/>
      <c r="C30" s="181"/>
      <c r="D30" s="181"/>
      <c r="E30" s="563" t="s">
        <v>309</v>
      </c>
      <c r="F30" s="181"/>
      <c r="G30" s="181"/>
      <c r="H30" s="181"/>
      <c r="I30" s="181"/>
    </row>
    <row r="31" spans="1:10" ht="18.75" customHeight="1" x14ac:dyDescent="0.35">
      <c r="A31" s="181"/>
      <c r="B31" s="181"/>
      <c r="C31" s="181"/>
      <c r="D31" s="181"/>
      <c r="E31" s="407">
        <f>SUM(D24:D26)</f>
        <v>2.0633599999999999</v>
      </c>
      <c r="F31" s="181"/>
      <c r="G31" s="181"/>
      <c r="H31" s="181"/>
      <c r="I31" s="181"/>
    </row>
    <row r="32" spans="1:10" ht="18" x14ac:dyDescent="0.35">
      <c r="A32" s="181"/>
      <c r="B32" s="181"/>
      <c r="C32" s="181"/>
      <c r="D32" s="181"/>
      <c r="E32" s="181"/>
      <c r="F32" s="181"/>
      <c r="G32" s="181"/>
      <c r="H32" s="181"/>
      <c r="I32" s="181"/>
    </row>
    <row r="33" spans="1:9" ht="18" x14ac:dyDescent="0.35">
      <c r="A33" s="181"/>
      <c r="B33" s="181"/>
      <c r="C33" s="181"/>
      <c r="D33" s="181"/>
      <c r="E33" s="181"/>
      <c r="F33" s="181"/>
      <c r="G33" s="181"/>
      <c r="H33" s="181"/>
      <c r="I33" s="181"/>
    </row>
  </sheetData>
  <mergeCells count="11">
    <mergeCell ref="A21:A23"/>
    <mergeCell ref="A24:A26"/>
    <mergeCell ref="A19:D19"/>
    <mergeCell ref="A7:A8"/>
    <mergeCell ref="H18:I18"/>
    <mergeCell ref="H19:I19"/>
    <mergeCell ref="B7:B8"/>
    <mergeCell ref="C7:C8"/>
    <mergeCell ref="D7:D8"/>
    <mergeCell ref="B10:D10"/>
    <mergeCell ref="B14:D14"/>
  </mergeCells>
  <phoneticPr fontId="26" type="noConversion"/>
  <pageMargins left="0.75" right="0.75" top="1" bottom="1" header="0.5" footer="0.5"/>
  <pageSetup scale="80" orientation="landscape" r:id="rId1"/>
  <headerFooter alignWithMargins="0"/>
  <colBreaks count="1" manualBreakCount="1">
    <brk id="8" max="3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39041-29BE-4E4E-ACB3-BA972F037DEE}">
  <dimension ref="A1:W15"/>
  <sheetViews>
    <sheetView tabSelected="1" workbookViewId="0">
      <selection activeCell="G13" sqref="G13"/>
    </sheetView>
  </sheetViews>
  <sheetFormatPr defaultRowHeight="15.6" x14ac:dyDescent="0.3"/>
  <cols>
    <col min="1" max="1" width="23.54296875" customWidth="1"/>
    <col min="2" max="2" width="10.90625" customWidth="1"/>
    <col min="3" max="3" width="10.81640625" customWidth="1"/>
    <col min="4" max="4" width="11.1796875" customWidth="1"/>
    <col min="5" max="5" width="10.81640625" customWidth="1"/>
    <col min="6" max="6" width="11.54296875" customWidth="1"/>
    <col min="7" max="7" width="10.54296875" customWidth="1"/>
    <col min="13" max="14" width="9.6328125" customWidth="1"/>
    <col min="18" max="18" width="11.81640625" customWidth="1"/>
    <col min="21" max="21" width="12.08984375" customWidth="1"/>
    <col min="23" max="23" width="12" customWidth="1"/>
  </cols>
  <sheetData>
    <row r="1" spans="1:23" ht="106.8" thickBot="1" x14ac:dyDescent="0.35">
      <c r="A1" s="150"/>
      <c r="B1" s="633" t="s">
        <v>87</v>
      </c>
      <c r="C1" s="633"/>
      <c r="D1" s="633"/>
      <c r="E1" s="633"/>
      <c r="F1" s="633"/>
      <c r="G1" s="633"/>
      <c r="H1" s="633"/>
      <c r="I1" s="633"/>
      <c r="J1" s="633"/>
      <c r="K1" s="633"/>
      <c r="L1" s="634"/>
      <c r="M1" s="635" t="s">
        <v>88</v>
      </c>
      <c r="N1" s="636"/>
      <c r="O1" s="636"/>
      <c r="P1" s="636"/>
      <c r="Q1" s="636"/>
      <c r="R1" s="637"/>
      <c r="S1" s="142"/>
      <c r="T1" s="638" t="s">
        <v>89</v>
      </c>
      <c r="U1" s="639"/>
      <c r="V1" s="142"/>
      <c r="W1" s="143" t="s">
        <v>90</v>
      </c>
    </row>
    <row r="2" spans="1:23" ht="74.400000000000006" thickBot="1" x14ac:dyDescent="0.35">
      <c r="A2" s="151" t="s">
        <v>91</v>
      </c>
      <c r="B2" s="152" t="s">
        <v>92</v>
      </c>
      <c r="C2" s="152" t="s">
        <v>93</v>
      </c>
      <c r="D2" s="153" t="s">
        <v>94</v>
      </c>
      <c r="E2" s="153" t="s">
        <v>95</v>
      </c>
      <c r="F2" s="152" t="s">
        <v>96</v>
      </c>
      <c r="G2" s="153" t="s">
        <v>97</v>
      </c>
      <c r="H2" s="153" t="s">
        <v>98</v>
      </c>
      <c r="I2" s="153" t="s">
        <v>99</v>
      </c>
      <c r="J2" s="152" t="s">
        <v>100</v>
      </c>
      <c r="K2" s="153" t="s">
        <v>101</v>
      </c>
      <c r="L2" s="154" t="s">
        <v>102</v>
      </c>
      <c r="M2" s="155" t="s">
        <v>103</v>
      </c>
      <c r="N2" s="153" t="s">
        <v>104</v>
      </c>
      <c r="O2" s="153" t="s">
        <v>98</v>
      </c>
      <c r="P2" s="153" t="s">
        <v>105</v>
      </c>
      <c r="Q2" s="153" t="s">
        <v>106</v>
      </c>
      <c r="R2" s="154" t="s">
        <v>107</v>
      </c>
      <c r="S2" s="144"/>
      <c r="T2" s="171" t="s">
        <v>108</v>
      </c>
      <c r="U2" s="172" t="s">
        <v>109</v>
      </c>
      <c r="V2" s="144"/>
      <c r="W2" s="145" t="s">
        <v>110</v>
      </c>
    </row>
    <row r="3" spans="1:23" ht="12.75" customHeight="1" x14ac:dyDescent="0.3">
      <c r="A3" s="156" t="s">
        <v>111</v>
      </c>
      <c r="B3" s="157">
        <v>6.6</v>
      </c>
      <c r="C3" s="157">
        <v>17</v>
      </c>
      <c r="D3" s="158">
        <f>B3*2</f>
        <v>13.2</v>
      </c>
      <c r="E3" s="158">
        <f>C3*2</f>
        <v>34</v>
      </c>
      <c r="F3" s="157">
        <v>19</v>
      </c>
      <c r="G3" s="158">
        <f>F3*2</f>
        <v>38</v>
      </c>
      <c r="H3" s="158">
        <v>1.1200000000000001</v>
      </c>
      <c r="I3" s="158"/>
      <c r="J3" s="157">
        <v>0.08</v>
      </c>
      <c r="K3" s="158">
        <f>J3*2</f>
        <v>0.16</v>
      </c>
      <c r="L3" s="159">
        <f>SUM(MAX(D3,E3),G3,H3,I3,K3)</f>
        <v>73.28</v>
      </c>
      <c r="M3" s="160">
        <v>17</v>
      </c>
      <c r="N3" s="158">
        <v>166</v>
      </c>
      <c r="O3" s="158">
        <v>4.9000000000000004</v>
      </c>
      <c r="P3" s="158"/>
      <c r="Q3" s="158">
        <v>0.04</v>
      </c>
      <c r="R3" s="159">
        <f>SUM(M3:Q3)</f>
        <v>187.94</v>
      </c>
      <c r="S3" s="142"/>
      <c r="T3" s="173">
        <f>SUM(G3,H3,I3)</f>
        <v>39.119999999999997</v>
      </c>
      <c r="U3" s="174">
        <f>SUM(N3,O3,P3)</f>
        <v>170.9</v>
      </c>
      <c r="V3" s="142"/>
      <c r="W3" s="146">
        <f>SUM(M3,N3,O3,P3)</f>
        <v>187.9</v>
      </c>
    </row>
    <row r="4" spans="1:23" ht="12.75" customHeight="1" x14ac:dyDescent="0.3">
      <c r="A4" s="156" t="s">
        <v>112</v>
      </c>
      <c r="B4" s="157">
        <v>6.6</v>
      </c>
      <c r="C4" s="157">
        <v>17</v>
      </c>
      <c r="D4" s="158">
        <f t="shared" ref="D4:E10" si="0">B4*2</f>
        <v>13.2</v>
      </c>
      <c r="E4" s="158">
        <f t="shared" si="0"/>
        <v>34</v>
      </c>
      <c r="F4" s="157">
        <v>19</v>
      </c>
      <c r="G4" s="158">
        <f t="shared" ref="G4:G11" si="1">F4*2</f>
        <v>38</v>
      </c>
      <c r="H4" s="158">
        <v>1.1200000000000001</v>
      </c>
      <c r="I4" s="158"/>
      <c r="J4" s="157">
        <v>0.08</v>
      </c>
      <c r="K4" s="158">
        <f t="shared" ref="K4:K8" si="2">J4*2</f>
        <v>0.16</v>
      </c>
      <c r="L4" s="159">
        <f t="shared" ref="L4:L11" si="3">SUM(MAX(D4,E4),G4,H4,I4,K4)</f>
        <v>73.28</v>
      </c>
      <c r="M4" s="160">
        <v>17</v>
      </c>
      <c r="N4" s="158">
        <v>166</v>
      </c>
      <c r="O4" s="158">
        <v>4.9000000000000004</v>
      </c>
      <c r="P4" s="158"/>
      <c r="Q4" s="158">
        <v>0.04</v>
      </c>
      <c r="R4" s="159">
        <f t="shared" ref="R4:R11" si="4">SUM(M4:Q4)</f>
        <v>187.94</v>
      </c>
      <c r="S4" s="142"/>
      <c r="T4" s="175">
        <f t="shared" ref="T4:T11" si="5">SUM(G4,H4,I4)</f>
        <v>39.119999999999997</v>
      </c>
      <c r="U4" s="176">
        <f t="shared" ref="U4:U11" si="6">SUM(N4,O4,P4)</f>
        <v>170.9</v>
      </c>
      <c r="V4" s="142"/>
      <c r="W4" s="147">
        <f t="shared" ref="W4:W11" si="7">SUM(M4,N4,O4,P4)</f>
        <v>187.9</v>
      </c>
    </row>
    <row r="5" spans="1:23" ht="12.75" customHeight="1" x14ac:dyDescent="0.3">
      <c r="A5" s="156" t="s">
        <v>113</v>
      </c>
      <c r="B5" s="157">
        <v>0.3</v>
      </c>
      <c r="C5" s="157">
        <v>22.5</v>
      </c>
      <c r="D5" s="158">
        <f t="shared" si="0"/>
        <v>0.6</v>
      </c>
      <c r="E5" s="158">
        <f t="shared" si="0"/>
        <v>45</v>
      </c>
      <c r="F5" s="157">
        <v>5.7</v>
      </c>
      <c r="G5" s="158">
        <f t="shared" si="1"/>
        <v>11.4</v>
      </c>
      <c r="H5" s="158"/>
      <c r="I5" s="158"/>
      <c r="J5" s="157">
        <v>1.7999999999999999E-2</v>
      </c>
      <c r="K5" s="158">
        <f t="shared" si="2"/>
        <v>3.5999999999999997E-2</v>
      </c>
      <c r="L5" s="159">
        <f t="shared" si="3"/>
        <v>56.436</v>
      </c>
      <c r="M5" s="160">
        <v>6</v>
      </c>
      <c r="N5" s="158">
        <v>53</v>
      </c>
      <c r="O5" s="158"/>
      <c r="P5" s="158"/>
      <c r="Q5" s="158">
        <v>0.01</v>
      </c>
      <c r="R5" s="159">
        <f t="shared" si="4"/>
        <v>59.01</v>
      </c>
      <c r="S5" s="142"/>
      <c r="T5" s="175">
        <f t="shared" si="5"/>
        <v>11.4</v>
      </c>
      <c r="U5" s="176">
        <f t="shared" si="6"/>
        <v>53</v>
      </c>
      <c r="V5" s="142"/>
      <c r="W5" s="147">
        <f t="shared" si="7"/>
        <v>59</v>
      </c>
    </row>
    <row r="6" spans="1:23" ht="12.75" customHeight="1" x14ac:dyDescent="0.3">
      <c r="A6" s="156" t="s">
        <v>114</v>
      </c>
      <c r="B6" s="157">
        <v>41</v>
      </c>
      <c r="C6" s="157">
        <v>71</v>
      </c>
      <c r="D6" s="158">
        <f t="shared" si="0"/>
        <v>82</v>
      </c>
      <c r="E6" s="158">
        <f t="shared" si="0"/>
        <v>142</v>
      </c>
      <c r="F6" s="157">
        <v>20</v>
      </c>
      <c r="G6" s="158">
        <f t="shared" si="1"/>
        <v>40</v>
      </c>
      <c r="H6" s="158"/>
      <c r="I6" s="158"/>
      <c r="J6" s="157">
        <v>24.89</v>
      </c>
      <c r="K6" s="158">
        <f t="shared" si="2"/>
        <v>49.78</v>
      </c>
      <c r="L6" s="159">
        <f t="shared" si="3"/>
        <v>231.78</v>
      </c>
      <c r="M6" s="160">
        <v>98</v>
      </c>
      <c r="N6" s="158">
        <v>210</v>
      </c>
      <c r="O6" s="158"/>
      <c r="P6" s="158"/>
      <c r="Q6" s="158">
        <v>12.45</v>
      </c>
      <c r="R6" s="159">
        <f t="shared" si="4"/>
        <v>320.45</v>
      </c>
      <c r="S6" s="142"/>
      <c r="T6" s="175">
        <f t="shared" si="5"/>
        <v>40</v>
      </c>
      <c r="U6" s="176">
        <f t="shared" si="6"/>
        <v>210</v>
      </c>
      <c r="V6" s="142"/>
      <c r="W6" s="147">
        <f t="shared" si="7"/>
        <v>308</v>
      </c>
    </row>
    <row r="7" spans="1:23" ht="12.75" customHeight="1" x14ac:dyDescent="0.3">
      <c r="A7" s="156" t="s">
        <v>115</v>
      </c>
      <c r="B7" s="157">
        <v>57</v>
      </c>
      <c r="C7" s="157">
        <v>6</v>
      </c>
      <c r="D7" s="158">
        <f t="shared" si="0"/>
        <v>114</v>
      </c>
      <c r="E7" s="158">
        <f t="shared" si="0"/>
        <v>12</v>
      </c>
      <c r="F7" s="157">
        <v>48</v>
      </c>
      <c r="G7" s="158">
        <f t="shared" si="1"/>
        <v>96</v>
      </c>
      <c r="H7" s="158"/>
      <c r="I7" s="158"/>
      <c r="J7" s="157">
        <v>0.84299999999999997</v>
      </c>
      <c r="K7" s="158">
        <f t="shared" si="2"/>
        <v>1.6859999999999999</v>
      </c>
      <c r="L7" s="159">
        <f t="shared" si="3"/>
        <v>211.68600000000001</v>
      </c>
      <c r="M7" s="160">
        <v>115</v>
      </c>
      <c r="N7" s="158">
        <v>550</v>
      </c>
      <c r="O7" s="158"/>
      <c r="P7" s="158"/>
      <c r="Q7" s="158">
        <v>0.42</v>
      </c>
      <c r="R7" s="159">
        <f t="shared" si="4"/>
        <v>665.42</v>
      </c>
      <c r="S7" s="142"/>
      <c r="T7" s="175">
        <f t="shared" si="5"/>
        <v>96</v>
      </c>
      <c r="U7" s="176">
        <f t="shared" si="6"/>
        <v>550</v>
      </c>
      <c r="V7" s="142"/>
      <c r="W7" s="147">
        <f t="shared" si="7"/>
        <v>665</v>
      </c>
    </row>
    <row r="8" spans="1:23" ht="12.75" customHeight="1" x14ac:dyDescent="0.3">
      <c r="A8" s="156" t="s">
        <v>116</v>
      </c>
      <c r="B8" s="157">
        <v>5</v>
      </c>
      <c r="C8" s="157">
        <v>1</v>
      </c>
      <c r="D8" s="158">
        <f t="shared" si="0"/>
        <v>10</v>
      </c>
      <c r="E8" s="158">
        <f t="shared" si="0"/>
        <v>2</v>
      </c>
      <c r="F8" s="157">
        <v>3.8</v>
      </c>
      <c r="G8" s="158">
        <f t="shared" si="1"/>
        <v>7.6</v>
      </c>
      <c r="H8" s="158"/>
      <c r="I8" s="158"/>
      <c r="J8" s="157">
        <v>0.40100000000000002</v>
      </c>
      <c r="K8" s="158">
        <f t="shared" si="2"/>
        <v>0.80200000000000005</v>
      </c>
      <c r="L8" s="159">
        <f t="shared" si="3"/>
        <v>18.402000000000001</v>
      </c>
      <c r="M8" s="160">
        <v>10</v>
      </c>
      <c r="N8" s="158">
        <v>48</v>
      </c>
      <c r="O8" s="158"/>
      <c r="P8" s="158"/>
      <c r="Q8" s="158">
        <v>0.2</v>
      </c>
      <c r="R8" s="159">
        <f t="shared" si="4"/>
        <v>58.2</v>
      </c>
      <c r="S8" s="142"/>
      <c r="T8" s="175">
        <f t="shared" si="5"/>
        <v>7.6</v>
      </c>
      <c r="U8" s="176">
        <f t="shared" si="6"/>
        <v>48</v>
      </c>
      <c r="V8" s="142"/>
      <c r="W8" s="147">
        <f t="shared" si="7"/>
        <v>58</v>
      </c>
    </row>
    <row r="9" spans="1:23" ht="12.75" customHeight="1" x14ac:dyDescent="0.3">
      <c r="A9" s="156" t="s">
        <v>117</v>
      </c>
      <c r="B9" s="157"/>
      <c r="C9" s="157"/>
      <c r="D9" s="158"/>
      <c r="E9" s="158"/>
      <c r="F9" s="157">
        <v>0.68500000000000005</v>
      </c>
      <c r="G9" s="158">
        <f t="shared" si="1"/>
        <v>1.37</v>
      </c>
      <c r="H9" s="158"/>
      <c r="I9" s="158"/>
      <c r="J9" s="157"/>
      <c r="K9" s="158"/>
      <c r="L9" s="159">
        <f t="shared" si="3"/>
        <v>1.37</v>
      </c>
      <c r="M9" s="161"/>
      <c r="N9" s="158">
        <v>6</v>
      </c>
      <c r="O9" s="158"/>
      <c r="P9" s="158"/>
      <c r="Q9" s="158"/>
      <c r="R9" s="159">
        <f t="shared" si="4"/>
        <v>6</v>
      </c>
      <c r="S9" s="142"/>
      <c r="T9" s="177">
        <f t="shared" si="5"/>
        <v>1.37</v>
      </c>
      <c r="U9" s="176">
        <f t="shared" si="6"/>
        <v>6</v>
      </c>
      <c r="V9" s="142"/>
      <c r="W9" s="147">
        <f t="shared" si="7"/>
        <v>6</v>
      </c>
    </row>
    <row r="10" spans="1:23" ht="12.75" customHeight="1" x14ac:dyDescent="0.3">
      <c r="A10" s="156" t="s">
        <v>118</v>
      </c>
      <c r="B10" s="157">
        <v>1.4</v>
      </c>
      <c r="C10" s="157"/>
      <c r="D10" s="158">
        <f t="shared" si="0"/>
        <v>2.8</v>
      </c>
      <c r="E10" s="158"/>
      <c r="F10" s="157">
        <v>0.68</v>
      </c>
      <c r="G10" s="158">
        <f t="shared" si="1"/>
        <v>1.36</v>
      </c>
      <c r="H10" s="158"/>
      <c r="I10" s="158"/>
      <c r="J10" s="157"/>
      <c r="K10" s="158"/>
      <c r="L10" s="159">
        <f t="shared" si="3"/>
        <v>4.16</v>
      </c>
      <c r="M10" s="161">
        <v>3.3</v>
      </c>
      <c r="N10" s="158">
        <v>5.7</v>
      </c>
      <c r="O10" s="158"/>
      <c r="P10" s="158"/>
      <c r="Q10" s="158"/>
      <c r="R10" s="159">
        <f t="shared" si="4"/>
        <v>9</v>
      </c>
      <c r="S10" s="142"/>
      <c r="T10" s="177">
        <f t="shared" si="5"/>
        <v>1.36</v>
      </c>
      <c r="U10" s="176">
        <f t="shared" si="6"/>
        <v>5.7</v>
      </c>
      <c r="V10" s="142"/>
      <c r="W10" s="147">
        <f t="shared" si="7"/>
        <v>9</v>
      </c>
    </row>
    <row r="11" spans="1:23" ht="12.75" customHeight="1" thickBot="1" x14ac:dyDescent="0.35">
      <c r="A11" s="162" t="s">
        <v>119</v>
      </c>
      <c r="B11" s="163"/>
      <c r="C11" s="163"/>
      <c r="D11" s="164"/>
      <c r="E11" s="164"/>
      <c r="F11" s="163">
        <v>28</v>
      </c>
      <c r="G11" s="164">
        <f t="shared" si="1"/>
        <v>56</v>
      </c>
      <c r="H11" s="164"/>
      <c r="I11" s="165">
        <f>P11*2000/8760</f>
        <v>0.14840182648401826</v>
      </c>
      <c r="J11" s="166"/>
      <c r="K11" s="165"/>
      <c r="L11" s="167">
        <f t="shared" si="3"/>
        <v>56.148401826484019</v>
      </c>
      <c r="M11" s="168"/>
      <c r="N11" s="164">
        <v>245</v>
      </c>
      <c r="O11" s="164"/>
      <c r="P11" s="164">
        <v>0.65</v>
      </c>
      <c r="Q11" s="164"/>
      <c r="R11" s="159">
        <f t="shared" si="4"/>
        <v>245.65</v>
      </c>
      <c r="S11" s="142"/>
      <c r="T11" s="178">
        <f t="shared" si="5"/>
        <v>56.148401826484019</v>
      </c>
      <c r="U11" s="179">
        <f t="shared" si="6"/>
        <v>245.65</v>
      </c>
      <c r="V11" s="142"/>
      <c r="W11" s="148">
        <f t="shared" si="7"/>
        <v>245.65</v>
      </c>
    </row>
    <row r="12" spans="1:23" x14ac:dyDescent="0.3">
      <c r="A12" s="169" t="s">
        <v>120</v>
      </c>
      <c r="B12" s="169"/>
      <c r="C12" s="169"/>
      <c r="D12" s="150"/>
      <c r="E12" s="150"/>
      <c r="F12" s="150"/>
      <c r="G12" s="150"/>
      <c r="H12" s="150"/>
      <c r="I12" s="150"/>
      <c r="J12" s="150"/>
      <c r="K12" s="150"/>
      <c r="L12" s="150"/>
      <c r="M12" s="150"/>
      <c r="N12" s="150"/>
      <c r="O12" s="150"/>
      <c r="P12" s="150"/>
      <c r="Q12" s="150"/>
      <c r="R12" s="150"/>
      <c r="S12" s="142"/>
      <c r="T12" s="142"/>
      <c r="U12" s="142"/>
      <c r="V12" s="142"/>
      <c r="W12" s="142"/>
    </row>
    <row r="13" spans="1:23" x14ac:dyDescent="0.3">
      <c r="A13" s="170"/>
      <c r="B13" s="170"/>
      <c r="C13" s="170"/>
      <c r="D13" s="170"/>
      <c r="E13" s="170"/>
      <c r="F13" s="170"/>
      <c r="G13" s="170"/>
      <c r="H13" s="170"/>
      <c r="I13" s="170"/>
      <c r="J13" s="170"/>
      <c r="K13" s="170"/>
      <c r="L13" s="170"/>
      <c r="M13" s="170"/>
      <c r="N13" s="170"/>
      <c r="O13" s="170"/>
      <c r="P13" s="170"/>
      <c r="Q13" s="170"/>
      <c r="R13" s="170"/>
    </row>
    <row r="14" spans="1:23" x14ac:dyDescent="0.3">
      <c r="A14" s="170"/>
      <c r="B14" s="170"/>
      <c r="C14" s="170"/>
      <c r="D14" s="170"/>
      <c r="E14" s="170"/>
      <c r="F14" s="170"/>
      <c r="G14" s="170"/>
      <c r="H14" s="170"/>
      <c r="I14" s="170"/>
      <c r="J14" s="170"/>
      <c r="K14" s="170"/>
      <c r="L14" s="170"/>
      <c r="M14" s="170"/>
      <c r="N14" s="170"/>
      <c r="O14" s="170"/>
      <c r="P14" s="170"/>
      <c r="Q14" s="170"/>
      <c r="R14" s="170"/>
    </row>
    <row r="15" spans="1:23" x14ac:dyDescent="0.3">
      <c r="A15" s="170"/>
      <c r="B15" s="170"/>
      <c r="C15" s="170"/>
      <c r="D15" s="170"/>
      <c r="E15" s="170"/>
      <c r="F15" s="170"/>
      <c r="G15" s="170"/>
      <c r="H15" s="170"/>
      <c r="I15" s="170"/>
      <c r="J15" s="170"/>
      <c r="K15" s="170"/>
      <c r="L15" s="170"/>
      <c r="M15" s="170"/>
      <c r="N15" s="170"/>
      <c r="O15" s="170"/>
      <c r="P15" s="170"/>
      <c r="Q15" s="170"/>
      <c r="R15" s="170"/>
    </row>
  </sheetData>
  <mergeCells count="3">
    <mergeCell ref="B1:L1"/>
    <mergeCell ref="M1:R1"/>
    <mergeCell ref="T1:U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aad656-1b10-457c-90e9-91a22fe1f7eb" xsi:nil="true"/>
    <lcf76f155ced4ddcb4097134ff3c332f xmlns="688d689e-5026-4cd3-ab19-d86d5abe8b8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65383296ED4D4DB0AD800770D06660" ma:contentTypeVersion="13" ma:contentTypeDescription="Create a new document." ma:contentTypeScope="" ma:versionID="d41e3362374a77cb2779b579319bf33d">
  <xsd:schema xmlns:xsd="http://www.w3.org/2001/XMLSchema" xmlns:xs="http://www.w3.org/2001/XMLSchema" xmlns:p="http://schemas.microsoft.com/office/2006/metadata/properties" xmlns:ns2="688d689e-5026-4cd3-ab19-d86d5abe8b8f" xmlns:ns3="feaad656-1b10-457c-90e9-91a22fe1f7eb" targetNamespace="http://schemas.microsoft.com/office/2006/metadata/properties" ma:root="true" ma:fieldsID="c1c471bdbf5dd940247783216cb2b2bb" ns2:_="" ns3:_="">
    <xsd:import namespace="688d689e-5026-4cd3-ab19-d86d5abe8b8f"/>
    <xsd:import namespace="feaad656-1b10-457c-90e9-91a22fe1f7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8d689e-5026-4cd3-ab19-d86d5abe8b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f121c4d-7a7c-4cad-b202-e2ff2641992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ad656-1b10-457c-90e9-91a22fe1f7e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da6103-8379-4351-840b-17cc1c57b5f5}" ma:internalName="TaxCatchAll" ma:showField="CatchAllData" ma:web="feaad656-1b10-457c-90e9-91a22fe1f7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E129FA-DC3D-4D84-AB9E-E068D4DF80FA}">
  <ds:schemaRefs>
    <ds:schemaRef ds:uri="http://schemas.microsoft.com/office/2006/metadata/properties"/>
    <ds:schemaRef ds:uri="http://schemas.microsoft.com/office/infopath/2007/PartnerControls"/>
    <ds:schemaRef ds:uri="feaad656-1b10-457c-90e9-91a22fe1f7eb"/>
    <ds:schemaRef ds:uri="688d689e-5026-4cd3-ab19-d86d5abe8b8f"/>
  </ds:schemaRefs>
</ds:datastoreItem>
</file>

<file path=customXml/itemProps2.xml><?xml version="1.0" encoding="utf-8"?>
<ds:datastoreItem xmlns:ds="http://schemas.openxmlformats.org/officeDocument/2006/customXml" ds:itemID="{2B07AD6D-5E3C-4257-9821-DCDB3D7C042C}">
  <ds:schemaRefs>
    <ds:schemaRef ds:uri="http://schemas.microsoft.com/sharepoint/v3/contenttype/forms"/>
  </ds:schemaRefs>
</ds:datastoreItem>
</file>

<file path=customXml/itemProps3.xml><?xml version="1.0" encoding="utf-8"?>
<ds:datastoreItem xmlns:ds="http://schemas.openxmlformats.org/officeDocument/2006/customXml" ds:itemID="{D1D1FA57-50FE-4E6B-979E-1712760C23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PTE INPUTS</vt:lpstr>
      <vt:lpstr>Typ</vt:lpstr>
      <vt:lpstr>HAPs Factors</vt:lpstr>
      <vt:lpstr>Typ_2</vt:lpstr>
      <vt:lpstr>HAPs</vt:lpstr>
      <vt:lpstr>NH3 tank</vt:lpstr>
      <vt:lpstr>Cooling Tower</vt:lpstr>
      <vt:lpstr>SU-SD</vt:lpstr>
      <vt:lpstr>SPDL Permit Limits Summary</vt:lpstr>
      <vt:lpstr>G02</vt:lpstr>
      <vt:lpstr>EGs</vt:lpstr>
      <vt:lpstr>EGsHAPs</vt:lpstr>
      <vt:lpstr>PTE Appendix</vt:lpstr>
      <vt:lpstr>date</vt:lpstr>
      <vt:lpstr>'Cooling Tower'!Print_Area</vt:lpstr>
      <vt:lpstr>EGs!Print_Area</vt:lpstr>
      <vt:lpstr>EGsHAPs!Print_Area</vt:lpstr>
      <vt:lpstr>'G02'!Print_Area</vt:lpstr>
      <vt:lpstr>HAPs!Print_Area</vt:lpstr>
      <vt:lpstr>'HAPs Factors'!Print_Area</vt:lpstr>
      <vt:lpstr>'NH3 tank'!Print_Area</vt:lpstr>
      <vt:lpstr>'PTE Appendix'!Print_Area</vt:lpstr>
      <vt:lpstr>'PTE INPUTS'!Print_Area</vt:lpstr>
      <vt:lpstr>'SU-SD'!Print_Area</vt:lpstr>
      <vt:lpstr>Typ!Print_Area</vt:lpstr>
      <vt:lpstr>Typ_2!Print_Area</vt:lpstr>
      <vt:lpstr>tityear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Srinivas Lingareddy</dc:creator>
  <cp:keywords/>
  <dc:description/>
  <cp:lastModifiedBy>Lipari, Bernadette</cp:lastModifiedBy>
  <cp:revision/>
  <dcterms:created xsi:type="dcterms:W3CDTF">1998-05-29T14:38:50Z</dcterms:created>
  <dcterms:modified xsi:type="dcterms:W3CDTF">2026-05-13T17:48:10Z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0x0101008C65383296ED4D4DB0AD800770D06660</vt:lpwstr>
  </property>
  <property fmtid="{D5CDD505-2E9C-101B-9397-08002B2CF9AE}" pid="3" name="MediaServiceImageTags">
    <vt:lpwstr/>
  </property>
</Properties>
</file>